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13" activeTab="24"/>
  </bookViews>
  <sheets>
    <sheet name="L1" sheetId="1" r:id="rId1"/>
    <sheet name="L2" sheetId="2" r:id="rId2"/>
    <sheet name="L3" sheetId="3" r:id="rId3"/>
    <sheet name="L4" sheetId="4" r:id="rId4"/>
    <sheet name="L5" sheetId="5" r:id="rId5"/>
    <sheet name="L6" sheetId="6" r:id="rId6"/>
    <sheet name="L7" sheetId="7" r:id="rId7"/>
    <sheet name="L10" sheetId="8" r:id="rId8"/>
    <sheet name="L11" sheetId="9" r:id="rId9"/>
    <sheet name="L15" sheetId="10" r:id="rId10"/>
    <sheet name="L16" sheetId="11" r:id="rId11"/>
    <sheet name="L17" sheetId="12" r:id="rId12"/>
    <sheet name="L22 Persistency Ratio" sheetId="13" r:id="rId13"/>
    <sheet name="L24" sheetId="14" r:id="rId14"/>
    <sheet name="L25" sheetId="15" r:id="rId15"/>
    <sheet name="L32" sheetId="16" r:id="rId16"/>
    <sheet name="L33" sheetId="17" r:id="rId17"/>
    <sheet name="L36" sheetId="18" r:id="rId18"/>
    <sheet name="L37FPI" sheetId="19" r:id="rId19"/>
    <sheet name="L37Lives" sheetId="20" r:id="rId20"/>
    <sheet name="L38 FPI" sheetId="21" r:id="rId21"/>
    <sheet name="L38 NOP" sheetId="22" r:id="rId22"/>
    <sheet name="L39" sheetId="23" r:id="rId23"/>
    <sheet name="L40" sheetId="24" r:id="rId24"/>
    <sheet name="L41" sheetId="25" r:id="rId25"/>
  </sheets>
  <definedNames/>
  <calcPr fullCalcOnLoad="1"/>
</workbook>
</file>

<file path=xl/sharedStrings.xml><?xml version="1.0" encoding="utf-8"?>
<sst xmlns="http://schemas.openxmlformats.org/spreadsheetml/2006/main" count="3660" uniqueCount="641">
  <si>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</si>
  <si>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</si>
  <si>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</si>
  <si>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</si>
  <si>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</si>
  <si>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</si>
  <si>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</si>
  <si>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</si>
  <si>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</si>
  <si>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</si>
  <si>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</si>
  <si>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</si>
  <si>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</si>
  <si>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</si>
  <si>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</si>
  <si>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</si>
  <si>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</si>
  <si>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</si>
  <si>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</si>
  <si>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</si>
  <si>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</si>
  <si>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</si>
  <si>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</si>
  <si>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</si>
  <si>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</si>
  <si>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</si>
  <si>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</si>
  <si>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</si>
  <si>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</si>
  <si>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</si>
  <si>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</si>
  <si>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</si>
  <si>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</si>
  <si>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</si>
  <si>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</si>
  <si>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</si>
  <si>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</si>
  <si>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</si>
  <si>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</si>
  <si>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</si>
  <si>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</si>
  <si>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</si>
  <si>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</si>
  <si>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</si>
  <si>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</si>
  <si>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</si>
  <si>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</si>
  <si>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</si>
  <si>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</si>
  <si>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</si>
  <si>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</si>
  <si>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</si>
  <si>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</si>
  <si>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</si>
  <si>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</si>
  <si>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</si>
  <si>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</si>
  <si>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</si>
  <si>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</si>
  <si>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(in 000)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</si>
  <si>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</si>
  <si>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</si>
  <si>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</si>
  <si>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</si>
  <si>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</si>
  <si>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</si>
  <si>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</si>
  <si>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</si>
  <si>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</si>
  <si>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</si>
  <si>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</si>
  <si>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</si>
  <si>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</si>
  <si>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</si>
  <si>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</si>
  <si>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</si>
  <si>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>(Amount in '000)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</si>
  <si>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</si>
  <si>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</si>
  <si>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</si>
  <si>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</si>
  <si>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</si>
  <si>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</si>
  <si>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</si>
  <si>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</si>
  <si>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</si>
  <si>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</si>
  <si>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</si>
  <si>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</si>
  <si>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</si>
  <si>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</si>
  <si>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</si>
  <si>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</si>
  <si>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</si>
  <si>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</si>
  <si>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</si>
  <si>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</si>
  <si>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</si>
  <si>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</si>
  <si>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</si>
  <si>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</si>
  <si>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</si>
  <si>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</si>
  <si>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</si>
  <si>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</si>
  <si>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</si>
  <si>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</si>
  <si>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</si>
  <si>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</si>
  <si>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</si>
  <si>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</si>
  <si>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t>L-32:SOLVENCY MARGIN</t>
  </si>
  <si>
    <t>Description</t>
  </si>
  <si>
    <t>Available Assets in Policyholders' Fund:</t>
  </si>
  <si>
    <t>Deduct:</t>
  </si>
  <si>
    <t xml:space="preserve">Mathematical Reserves </t>
  </si>
  <si>
    <t xml:space="preserve">Other Liabilities </t>
  </si>
  <si>
    <t xml:space="preserve">Available Assets in Shareholders Fund: </t>
  </si>
  <si>
    <t>Other Liabilities of shareholders' fund</t>
  </si>
  <si>
    <t>Total ASM (04)+(07)</t>
  </si>
  <si>
    <t>Total RSM</t>
  </si>
  <si>
    <t>Solvency Ratio (ASM/RSM)</t>
  </si>
  <si>
    <t>Claims Experience</t>
  </si>
  <si>
    <t>For Death</t>
  </si>
  <si>
    <t>For Maturity</t>
  </si>
  <si>
    <t>Survival Benefit</t>
  </si>
  <si>
    <t>For Annuities/ Pension</t>
  </si>
  <si>
    <t>For Surrender</t>
  </si>
  <si>
    <t>Other Benefits*</t>
  </si>
  <si>
    <t>Claims O/S at the beginning of the period</t>
  </si>
  <si>
    <t>Unclaimed adjusted from Opening Balance</t>
  </si>
  <si>
    <t>Claims reported during the period</t>
  </si>
  <si>
    <t>Claims Repudiated during the period</t>
  </si>
  <si>
    <t>a)  Less than 2 years from the date of acceptance of risk</t>
  </si>
  <si>
    <t>b) Greater than 2 year from the date of acceptance of risk</t>
  </si>
  <si>
    <t>Claim Rejected</t>
  </si>
  <si>
    <t>Claims Written Back</t>
  </si>
  <si>
    <t>Claims Unclaimed</t>
  </si>
  <si>
    <t>Claims O/S at End of the period</t>
  </si>
  <si>
    <t>Less than  3months</t>
  </si>
  <si>
    <t>3 months to 6 months</t>
  </si>
  <si>
    <t>6 months to 1 year</t>
  </si>
  <si>
    <t>1 year and above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</si>
  <si>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</si>
  <si>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</si>
  <si>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</si>
  <si>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</si>
  <si>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</si>
  <si>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</si>
  <si>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</si>
  <si>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</si>
  <si>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</si>
  <si>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</si>
  <si>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</si>
  <si>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</si>
  <si>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</si>
  <si>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</si>
  <si>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</si>
  <si>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</si>
  <si>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</si>
  <si>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</si>
  <si>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</si>
  <si>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</si>
  <si>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</si>
  <si>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</si>
  <si>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</si>
  <si>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</si>
  <si>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</si>
  <si>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</si>
  <si>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</si>
  <si>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</si>
  <si>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</si>
  <si>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</si>
  <si>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</si>
  <si>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</si>
  <si>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</si>
  <si>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</si>
  <si>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</si>
  <si>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Loans</t>
  </si>
  <si>
    <t>Cash and bank balances</t>
  </si>
  <si>
    <t>L2:PROFIT &amp; LOSS ACCOUNT</t>
  </si>
  <si>
    <t>Figures in '000'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</si>
  <si>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</si>
  <si>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</si>
  <si>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</si>
  <si>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</si>
  <si>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</si>
  <si>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</si>
  <si>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</si>
  <si>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</si>
  <si>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</si>
  <si>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</si>
  <si>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</si>
  <si>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DHFL Pramerica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</si>
  <si>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</si>
  <si>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</si>
  <si>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</si>
  <si>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</si>
  <si>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</si>
  <si>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IDBI Federal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</si>
  <si>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</si>
  <si>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</si>
  <si>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</si>
  <si>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</si>
  <si>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</si>
  <si>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</si>
  <si>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</si>
  <si>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</si>
  <si>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</si>
  <si>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</si>
  <si>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</si>
  <si>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>Bonds / Debentures</t>
  </si>
  <si>
    <t>Other Debt instruments</t>
  </si>
  <si>
    <t>All Other Assets</t>
  </si>
  <si>
    <t>T0TAL</t>
  </si>
  <si>
    <t>Investments Assets  (As per Form 5)</t>
  </si>
  <si>
    <t>Gross NPA</t>
  </si>
  <si>
    <t>Provision made on NPA</t>
  </si>
  <si>
    <t>Provision on Standard Assets</t>
  </si>
  <si>
    <t>Write off made during the period</t>
  </si>
  <si>
    <t>IDBI Federal Life Insurance Company Limited Nothing</t>
  </si>
  <si>
    <t>On or before maturity</t>
  </si>
  <si>
    <t>1 month</t>
  </si>
  <si>
    <t>1-3 month</t>
  </si>
  <si>
    <t>3-6 month</t>
  </si>
  <si>
    <t xml:space="preserve">6-1 yr </t>
  </si>
  <si>
    <t>&gt; 1 year</t>
  </si>
  <si>
    <t>Total No. of Claim paid</t>
  </si>
  <si>
    <t>Total Amount of Claim paid in Crores</t>
  </si>
  <si>
    <t>6-12 months</t>
  </si>
  <si>
    <t>&gt; 12 months</t>
  </si>
  <si>
    <t>Maturity Claims</t>
  </si>
  <si>
    <t>For Annuities / Pension</t>
  </si>
  <si>
    <t>Other benefits</t>
  </si>
  <si>
    <t>Group Death Claims</t>
  </si>
  <si>
    <t>Individual Death Claims</t>
  </si>
  <si>
    <t>SBI Life Insurance Company Limited (In Crore)</t>
  </si>
  <si>
    <t>Shriram Life Insurance Company Limited  (In Crore)</t>
  </si>
  <si>
    <t>Star Union Dai-ichi Life Insurance Company Limited  (In Crore)</t>
  </si>
  <si>
    <t>Reliance Nippon Life Insurance Company Limited  (In Crore)</t>
  </si>
  <si>
    <t>PNB MetLife India Insurance Company Limited  (In Crore)</t>
  </si>
  <si>
    <t>Max Life Insurance Company Limited (In Crore)</t>
  </si>
  <si>
    <t>Kotak Mahindra Life Insurance Company Limited   (In Crore)</t>
  </si>
  <si>
    <t>IndiaFirst Life Insurance Company Limited in  (In Crore)</t>
  </si>
  <si>
    <t>ICICI Prudential Life Insurance Company Limited  (In Crore)</t>
  </si>
  <si>
    <t>HDFC Life Insurance Company Limited   (In Crore)</t>
  </si>
  <si>
    <t>Future Generali India Life Insurance Company Limited  (In Crore)</t>
  </si>
  <si>
    <t>Exide life Insurance Company Limited  (In Crore)</t>
  </si>
  <si>
    <t>DHFL Pramerica Life Insurance Company Limited  (In Crore)</t>
  </si>
  <si>
    <t>Canara HSBC Oriental Bank of Commerce Life Insurance Company Limited (In Crore)</t>
  </si>
  <si>
    <t>Bharti AXA Life Insurance Private Limited  (In Crore)</t>
  </si>
  <si>
    <t>Bajaj Allianz Life Insurance Company Limited  (In Crore)</t>
  </si>
  <si>
    <t>Aditya Birla Sun Life Insurance Company Limited (In Crore)</t>
  </si>
  <si>
    <t xml:space="preserve">% of Gross NPA on Investment Assets </t>
  </si>
  <si>
    <t>Provision as a % of NPA</t>
  </si>
  <si>
    <t xml:space="preserve">Net Investment Assets </t>
  </si>
  <si>
    <t xml:space="preserve">Net NPA </t>
  </si>
  <si>
    <t xml:space="preserve">% of Net NPA to Net Investment Assets </t>
  </si>
  <si>
    <t>L33 :Details of Non Performing Assets (Life Fund)</t>
  </si>
  <si>
    <t xml:space="preserve">Edelweiss Tokio Life Insurance Company Limited </t>
  </si>
  <si>
    <t>Figure in '000'</t>
  </si>
  <si>
    <t xml:space="preserve"> Cost / Gross Block </t>
  </si>
  <si>
    <t xml:space="preserve"> Depreciation / Amortisation </t>
  </si>
  <si>
    <t>Net Block</t>
  </si>
  <si>
    <t>Goodwill</t>
  </si>
  <si>
    <t xml:space="preserve">Intangibles - software </t>
  </si>
  <si>
    <t>Land-freehold</t>
  </si>
  <si>
    <t>Leasehold property</t>
  </si>
  <si>
    <t xml:space="preserve">Building on freehold land </t>
  </si>
  <si>
    <t>Building on leasehold land</t>
  </si>
  <si>
    <t>Furniture &amp; fittings</t>
  </si>
  <si>
    <t>Information technology equipment</t>
  </si>
  <si>
    <t>Vehicles</t>
  </si>
  <si>
    <t>Office equipment</t>
  </si>
  <si>
    <t>Leasehold improvements</t>
  </si>
  <si>
    <t>Servers &amp; Networks</t>
  </si>
  <si>
    <t>Electrical fittings</t>
  </si>
  <si>
    <t>Air Conditioner</t>
  </si>
  <si>
    <t>Mobile Phones &amp; Tablets/communication network</t>
  </si>
  <si>
    <t>Capital Work in Progress and Capital Advances</t>
  </si>
  <si>
    <t xml:space="preserve"># Includes certain asset leased pursuant to operating lease agreements </t>
  </si>
  <si>
    <t xml:space="preserve">Excess in  Policyholders' funds </t>
  </si>
  <si>
    <t xml:space="preserve">Excess in Shareholders' funds </t>
  </si>
  <si>
    <t xml:space="preserve">IDBI Federal Life Insurance Company Limited </t>
  </si>
  <si>
    <t>online</t>
  </si>
  <si>
    <t>Previous period ended March,2018</t>
  </si>
  <si>
    <t>Cash (including cheques,drafts and stamps)</t>
  </si>
  <si>
    <t>Bank balances</t>
  </si>
  <si>
    <t xml:space="preserve">          (a) Deposit accounts</t>
  </si>
  <si>
    <t xml:space="preserve">               (aa) Short-term (due within 12 months of the date of Balance Sheet)</t>
  </si>
  <si>
    <t xml:space="preserve">               (bb) Others</t>
  </si>
  <si>
    <t xml:space="preserve">          (b) Current accounts*</t>
  </si>
  <si>
    <t xml:space="preserve">          (c) Others</t>
  </si>
  <si>
    <t xml:space="preserve">          (d) Unclaimed Dividend Accounts </t>
  </si>
  <si>
    <t>Money at call and short notice</t>
  </si>
  <si>
    <t xml:space="preserve">          (a) With banks</t>
  </si>
  <si>
    <t xml:space="preserve">          (b) With other institutions</t>
  </si>
  <si>
    <t xml:space="preserve"> Total</t>
  </si>
  <si>
    <t>Balances with non-scheduled banks included above</t>
  </si>
  <si>
    <t xml:space="preserve">   Total</t>
  </si>
  <si>
    <t>Break-up of cash ( including cheques , drafts and stamps) :</t>
  </si>
  <si>
    <t>Cash in hand</t>
  </si>
  <si>
    <t>Postal franking &amp; Revenue Stamps</t>
  </si>
  <si>
    <t>Cheques in hand</t>
  </si>
  <si>
    <t>Form L-17-Cash and Bank Balance Schedule (` in '000)</t>
  </si>
  <si>
    <t>(c) Others-Provision</t>
  </si>
  <si>
    <t>Form L-15-Loans Schedule  (` in '000)</t>
  </si>
  <si>
    <t>SECURITY WISE CLASSIFICATION</t>
  </si>
  <si>
    <t>Secured</t>
  </si>
  <si>
    <t>(a)   On mortgage of property</t>
  </si>
  <si>
    <t xml:space="preserve">          (aa)   In India</t>
  </si>
  <si>
    <t xml:space="preserve">          (bb)  Outside India</t>
  </si>
  <si>
    <t>(b)  On Shares, Bonds, Govt Securities etc</t>
  </si>
  <si>
    <t>(c)  Loans against policies</t>
  </si>
  <si>
    <t>(d)  Others</t>
  </si>
  <si>
    <t>Unsecured</t>
  </si>
  <si>
    <t>BORROWER - WISE CLASSIFICATION</t>
  </si>
  <si>
    <t>(a)  Central and State Governments</t>
  </si>
  <si>
    <t>(b)  Banks and Financial institutions</t>
  </si>
  <si>
    <t>(c )  Subsidiaries</t>
  </si>
  <si>
    <t>(d)  Companies</t>
  </si>
  <si>
    <t>(e)   Loans against policies</t>
  </si>
  <si>
    <t>(f)   Others</t>
  </si>
  <si>
    <t>PERFORMANCE - WISE CLASSIFICATION</t>
  </si>
  <si>
    <t>(a)  Loans classified as standard</t>
  </si>
  <si>
    <t xml:space="preserve">        (aa)  In India</t>
  </si>
  <si>
    <t xml:space="preserve">        (bb) Outside India</t>
  </si>
  <si>
    <t>(b)  Non - standard loans less provisions</t>
  </si>
  <si>
    <t xml:space="preserve">        (bb)  Outside India</t>
  </si>
  <si>
    <t>MATURITY - WISE CLASSIFICATION</t>
  </si>
  <si>
    <t>(a)  Short Term</t>
  </si>
  <si>
    <t>(b)  Long Term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</si>
  <si>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</si>
  <si>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</si>
  <si>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</si>
  <si>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</si>
  <si>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</si>
  <si>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</si>
  <si>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</si>
  <si>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</si>
  <si>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</si>
  <si>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</si>
  <si>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</si>
  <si>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</si>
  <si>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</si>
  <si>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</si>
  <si>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</si>
  <si>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</si>
  <si>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</si>
  <si>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</si>
  <si>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</si>
  <si>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</si>
  <si>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</si>
  <si>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</si>
  <si>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</si>
  <si>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</si>
  <si>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</si>
  <si>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</si>
  <si>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</si>
  <si>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</si>
  <si>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</si>
  <si>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</si>
  <si>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</si>
  <si>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</si>
  <si>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</si>
  <si>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</si>
  <si>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</si>
  <si>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</si>
  <si>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</si>
  <si>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</si>
  <si>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</si>
  <si>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</si>
  <si>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</si>
  <si>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</si>
  <si>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</si>
  <si>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</si>
  <si>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</si>
  <si>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</si>
  <si>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Linked</t>
  </si>
  <si>
    <t>a) Life</t>
  </si>
  <si>
    <t>b) General Annuity</t>
  </si>
  <si>
    <t>c) Pension</t>
  </si>
  <si>
    <t>d) Health</t>
  </si>
  <si>
    <t>Non-Linked</t>
  </si>
  <si>
    <t>e) Par</t>
  </si>
  <si>
    <t>f) Funds for discontinued policies</t>
  </si>
  <si>
    <t>Non Par Variable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</si>
  <si>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</si>
  <si>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</si>
  <si>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</si>
  <si>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</si>
  <si>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</si>
  <si>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</si>
  <si>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</si>
  <si>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</si>
  <si>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</si>
  <si>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</si>
  <si>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</si>
  <si>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</si>
  <si>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</si>
  <si>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Form L-10-Reserves and Surplus Schedule(Amount in '000)</t>
  </si>
  <si>
    <t>Form L-11 -Borrowings Schedule  (Amount in '000)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</si>
  <si>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</si>
  <si>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</si>
  <si>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</si>
  <si>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L1:REVENUE ACCOUNT Figures in '000'</t>
  </si>
  <si>
    <t>(g) Appreciation in unclaimed balances</t>
  </si>
  <si>
    <t>-</t>
  </si>
  <si>
    <t>(f) Corporate Social Responsibility expenses</t>
  </si>
  <si>
    <t>(f) Unrealised Gains</t>
  </si>
  <si>
    <t>Transfer from Linked Fund (Lapsed policies)</t>
  </si>
  <si>
    <t>Exide life Insurance Company Limited (upto)</t>
  </si>
  <si>
    <t xml:space="preserve">Claims Settled during the period </t>
  </si>
  <si>
    <t>L37:BUSINESS ACQUISITION THROUGH DIFFERENT CHANNELS (GROUP) Premium</t>
  </si>
  <si>
    <t>L38::BUSINESS ACQUISITION THROUGH DIFFERENT CHANNELS (Individual) Premium</t>
  </si>
  <si>
    <t>Provision for Doubtful Debts</t>
  </si>
  <si>
    <t>Provision for Non Standard Loans</t>
  </si>
  <si>
    <t>Provision for Standard Loans</t>
  </si>
  <si>
    <t xml:space="preserve">        Outside India</t>
  </si>
  <si>
    <t xml:space="preserve">        In India</t>
  </si>
  <si>
    <t>Provision for Short Term</t>
  </si>
  <si>
    <t>Provision for Long Term</t>
  </si>
  <si>
    <t>Rural(Individual)</t>
  </si>
  <si>
    <t>No. of Policies</t>
  </si>
  <si>
    <t xml:space="preserve">No. of Lives </t>
  </si>
  <si>
    <t xml:space="preserve">Premium (` in Crores)     </t>
  </si>
  <si>
    <t xml:space="preserve">Premium   (`in Crores)     </t>
  </si>
  <si>
    <t xml:space="preserve">Aditya Birla Sun Life Insurance Company Limited </t>
  </si>
  <si>
    <t>Urban(Individual)</t>
  </si>
  <si>
    <t xml:space="preserve">Bajaj Allianz Life Insurance Company Limited  </t>
  </si>
  <si>
    <t xml:space="preserve">Bharti AXA Life Insurance Private Limited  </t>
  </si>
  <si>
    <t xml:space="preserve">DHFL Pramerica Life Insurance Company Limited  </t>
  </si>
  <si>
    <t xml:space="preserve">Exide life Insurance Company Limited  </t>
  </si>
  <si>
    <t xml:space="preserve">Future Generali India Life Insurance Company Limited  </t>
  </si>
  <si>
    <t xml:space="preserve">HDFC Life Insurance Company Limited   </t>
  </si>
  <si>
    <t xml:space="preserve">Canara HSBC Oriental Bank of Commerce Life Insurance Company Limited </t>
  </si>
  <si>
    <t xml:space="preserve">Shriram Life Insurance Company Limited </t>
  </si>
  <si>
    <t>Life Industry Total</t>
  </si>
  <si>
    <t xml:space="preserve">PNB MetLife India Insurance Company Limited </t>
  </si>
  <si>
    <t>L-40: CLAIMS DATA LIFE QUARTER ENDED June 2019</t>
  </si>
  <si>
    <t>For Q1 1920</t>
  </si>
  <si>
    <t>For Q1 1819</t>
  </si>
  <si>
    <t>AS at 30.06.2018</t>
  </si>
  <si>
    <t>AS at 30.06.2019</t>
  </si>
  <si>
    <t>Upto Q1 1920</t>
  </si>
  <si>
    <t>Upto Q1 1819</t>
  </si>
  <si>
    <t>Adjusted Value June 2019</t>
  </si>
  <si>
    <t>Adjusted Value June 2019 In Lakhs</t>
  </si>
  <si>
    <t>Adjusted Value June 2018</t>
  </si>
  <si>
    <t>As at 30th June,2019</t>
  </si>
  <si>
    <t>As at 30th June,2018</t>
  </si>
  <si>
    <t xml:space="preserve"> </t>
  </si>
  <si>
    <t>Current Tax (Credit)/Charge</t>
  </si>
  <si>
    <t>Upto Q1 201920</t>
  </si>
  <si>
    <t>Upto Q1 201819</t>
  </si>
  <si>
    <t>Provision for current tax</t>
  </si>
  <si>
    <t>Total (E)</t>
  </si>
  <si>
    <t>(c)Others</t>
  </si>
  <si>
    <t>FORM L-24  Valuation of net liabiltiies: As at 30.06.2019</t>
  </si>
  <si>
    <t xml:space="preserve">Bharti AXA Life Insurance Private Limited </t>
  </si>
  <si>
    <t xml:space="preserve">Star Union Dai-ichi Life Insurance Company Limited </t>
  </si>
  <si>
    <t xml:space="preserve">ICICI Prudential Life Insurance Company Limited </t>
  </si>
  <si>
    <t xml:space="preserve">Future Generali India Life Insurance Company Limited </t>
  </si>
  <si>
    <t xml:space="preserve">HDFC Life Insurance Company Limited </t>
  </si>
  <si>
    <t xml:space="preserve">Exide life Insurance Company Limited </t>
  </si>
  <si>
    <t xml:space="preserve">Aegon Life Insurance Company Limited </t>
  </si>
  <si>
    <r>
      <t xml:space="preserve">L-16: - Fixed Assets Schedules </t>
    </r>
    <r>
      <rPr>
        <b/>
        <sz val="9"/>
        <color indexed="8"/>
        <rFont val="Comic Sans MS"/>
        <family val="4"/>
      </rPr>
      <t>(As at 30.06.2019)</t>
    </r>
  </si>
  <si>
    <t>Q-1 201920</t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</si>
  <si>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(B)</t>
    </r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</si>
  <si>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(A)</t>
    </r>
  </si>
  <si>
    <t>SOURCES OF FUNDS</t>
  </si>
  <si>
    <t>Shareholders' Funds</t>
  </si>
  <si>
    <t>Credit/(Debit) Fair Value Change Account (Net)</t>
  </si>
  <si>
    <t>Sub-Total</t>
  </si>
  <si>
    <t>Policyholders' Funds:</t>
  </si>
  <si>
    <t>Policy Liabilities</t>
  </si>
  <si>
    <t>Insurance Reserves</t>
  </si>
  <si>
    <t>Linked Liabilities</t>
  </si>
  <si>
    <t>Fair value change</t>
  </si>
  <si>
    <t>Provision For Linked Liabilities</t>
  </si>
  <si>
    <t>Funds for Discontinued Policies</t>
  </si>
  <si>
    <t xml:space="preserve">   Discontinued on account of non-payment of premium</t>
  </si>
  <si>
    <t xml:space="preserve">   Others</t>
  </si>
  <si>
    <t>Funds For Future Appropriations</t>
  </si>
  <si>
    <t>Non Linked</t>
  </si>
  <si>
    <t>TOTAL</t>
  </si>
  <si>
    <t>APPLICATION OF FUNDS</t>
  </si>
  <si>
    <t>Investments</t>
  </si>
  <si>
    <t>Current Assets</t>
  </si>
  <si>
    <t>Sub-Total (A)</t>
  </si>
  <si>
    <t>Sub-Total (B)</t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</si>
  <si>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</si>
  <si>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</si>
  <si>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</si>
  <si>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</si>
  <si>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</si>
  <si>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</si>
  <si>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</si>
  <si>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</si>
  <si>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</si>
  <si>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</si>
  <si>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>Reinsurance obligations to the extent not provided for in accounts</t>
  </si>
  <si>
    <t>Credit/(Debit) Fair Value Change Account (Linked)</t>
  </si>
  <si>
    <t>Total Linked Liabilities</t>
  </si>
  <si>
    <t>Advances And Other Assets L18</t>
  </si>
  <si>
    <r>
      <t xml:space="preserve">Share Capital </t>
    </r>
    <r>
      <rPr>
        <b/>
        <sz val="8"/>
        <color indexed="8"/>
        <rFont val="Comic Sans MS"/>
        <family val="4"/>
      </rPr>
      <t>L8</t>
    </r>
  </si>
  <si>
    <r>
      <t>Reserves And Surplus</t>
    </r>
    <r>
      <rPr>
        <b/>
        <sz val="8"/>
        <color indexed="8"/>
        <rFont val="Comic Sans MS"/>
        <family val="4"/>
      </rPr>
      <t xml:space="preserve"> L10</t>
    </r>
  </si>
  <si>
    <r>
      <t xml:space="preserve">Borrowings </t>
    </r>
    <r>
      <rPr>
        <b/>
        <sz val="8"/>
        <color indexed="8"/>
        <rFont val="Comic Sans MS"/>
        <family val="4"/>
      </rPr>
      <t>L11</t>
    </r>
  </si>
  <si>
    <r>
      <t xml:space="preserve">Shareholders' </t>
    </r>
    <r>
      <rPr>
        <b/>
        <sz val="8"/>
        <color indexed="8"/>
        <rFont val="Comic Sans MS"/>
        <family val="4"/>
      </rPr>
      <t xml:space="preserve"> L12</t>
    </r>
  </si>
  <si>
    <r>
      <t xml:space="preserve">Policyholders'  </t>
    </r>
    <r>
      <rPr>
        <b/>
        <sz val="8"/>
        <color indexed="8"/>
        <rFont val="Comic Sans MS"/>
        <family val="4"/>
      </rPr>
      <t>L13</t>
    </r>
  </si>
  <si>
    <r>
      <t xml:space="preserve">Assets Held To Cover Linked Liabilities </t>
    </r>
    <r>
      <rPr>
        <b/>
        <sz val="8"/>
        <color indexed="8"/>
        <rFont val="Comic Sans MS"/>
        <family val="4"/>
      </rPr>
      <t>L14</t>
    </r>
  </si>
  <si>
    <r>
      <t>Loans</t>
    </r>
    <r>
      <rPr>
        <b/>
        <sz val="8"/>
        <color indexed="8"/>
        <rFont val="Comic Sans MS"/>
        <family val="4"/>
      </rPr>
      <t xml:space="preserve"> L15</t>
    </r>
  </si>
  <si>
    <r>
      <t xml:space="preserve">Fixed Assets </t>
    </r>
    <r>
      <rPr>
        <b/>
        <sz val="8"/>
        <color indexed="8"/>
        <rFont val="Comic Sans MS"/>
        <family val="4"/>
      </rPr>
      <t>L 16</t>
    </r>
  </si>
  <si>
    <r>
      <t xml:space="preserve">Cash and Bank Balances </t>
    </r>
    <r>
      <rPr>
        <b/>
        <sz val="8"/>
        <color indexed="8"/>
        <rFont val="Comic Sans MS"/>
        <family val="4"/>
      </rPr>
      <t>L17</t>
    </r>
  </si>
  <si>
    <r>
      <t xml:space="preserve">Current Liabilities </t>
    </r>
    <r>
      <rPr>
        <b/>
        <sz val="8"/>
        <color indexed="8"/>
        <rFont val="Comic Sans MS"/>
        <family val="4"/>
      </rPr>
      <t>L19</t>
    </r>
  </si>
  <si>
    <r>
      <t xml:space="preserve">Provisions </t>
    </r>
    <r>
      <rPr>
        <b/>
        <sz val="8"/>
        <color indexed="8"/>
        <rFont val="Comic Sans MS"/>
        <family val="4"/>
      </rPr>
      <t>L20</t>
    </r>
  </si>
  <si>
    <t>Audited as at 30th June 2018</t>
  </si>
  <si>
    <t>Audited as at 30th June 2019</t>
  </si>
  <si>
    <t>In relation to Claims against policies</t>
  </si>
  <si>
    <t xml:space="preserve">Statutory demands/ liabilities in dispute, not provided for </t>
  </si>
  <si>
    <t>Share Application Money pending Allotment</t>
  </si>
  <si>
    <t>Surplus on Policy Holder's  A/c</t>
  </si>
  <si>
    <t>Credit/(Debit) Fair Value Change A/c (Linked)Change Account (Net)</t>
  </si>
  <si>
    <t>Deferred Tax Assets</t>
  </si>
  <si>
    <t>Non Linked Liabilities</t>
  </si>
  <si>
    <t>Revaluation Reserve-Investment Property</t>
  </si>
  <si>
    <t>L3-Balance Sheet</t>
  </si>
  <si>
    <t>Individual</t>
  </si>
  <si>
    <t>Group</t>
  </si>
  <si>
    <t>Parameters</t>
  </si>
  <si>
    <t>Company</t>
  </si>
  <si>
    <t>FORM L-41: GRIEVANCE DISPOSAL</t>
  </si>
  <si>
    <t>Rejected</t>
  </si>
  <si>
    <t>Complaints made by customers</t>
  </si>
  <si>
    <t>Total Number of complaints:</t>
  </si>
  <si>
    <t>Total No. of complaints</t>
  </si>
  <si>
    <t>Max: 6.74% and Min: 5.48%</t>
  </si>
  <si>
    <t>Max: 8.24% and Min: 5.48%</t>
  </si>
  <si>
    <t>Not Applicable</t>
  </si>
  <si>
    <t>Max: 6.24% and Min: 5.48%</t>
  </si>
  <si>
    <t>Max: 98% and Min: 80% of IAL 06-08</t>
  </si>
  <si>
    <t>Max: 182% and Min: 23% of IAL 06-08</t>
  </si>
  <si>
    <t>Fully Accepted</t>
  </si>
  <si>
    <t>Complaints Resolved/ settled during the quarter</t>
  </si>
  <si>
    <t>Partial Accepted</t>
  </si>
  <si>
    <t>Additions during the quarter</t>
  </si>
  <si>
    <t>Complaints made by Intermediaries</t>
  </si>
  <si>
    <t xml:space="preserve">Opening as at the beginning the quarter </t>
  </si>
  <si>
    <t>Complaints pending at the end of the quarter</t>
  </si>
  <si>
    <t>Total complains registered upto the quarter during the Financial Year</t>
  </si>
  <si>
    <t>1.Complaints made by customers</t>
  </si>
  <si>
    <t>8.Duration wise Pending Status</t>
  </si>
  <si>
    <r>
      <rPr>
        <b/>
        <sz val="8"/>
        <color indexed="8"/>
        <rFont val="Comic Sans MS"/>
        <family val="4"/>
      </rPr>
      <t>7.</t>
    </r>
    <r>
      <rPr>
        <sz val="8"/>
        <color indexed="8"/>
        <rFont val="Comic Sans MS"/>
        <family val="4"/>
      </rPr>
      <t>Total No. of Claim Complaints (current year)per 10,000 claims registered ( current year)</t>
    </r>
  </si>
  <si>
    <r>
      <rPr>
        <b/>
        <sz val="8"/>
        <color indexed="8"/>
        <rFont val="Comic Sans MS"/>
        <family val="4"/>
      </rPr>
      <t>6.</t>
    </r>
    <r>
      <rPr>
        <sz val="8"/>
        <color indexed="8"/>
        <rFont val="Comic Sans MS"/>
        <family val="4"/>
      </rPr>
      <t>Total No. of Policy Complaints ( current year)per 10, 000 policies ( current year)</t>
    </r>
  </si>
  <si>
    <r>
      <rPr>
        <b/>
        <sz val="8"/>
        <color indexed="8"/>
        <rFont val="Comic Sans MS"/>
        <family val="4"/>
      </rPr>
      <t>5.</t>
    </r>
    <r>
      <rPr>
        <sz val="8"/>
        <color indexed="8"/>
        <rFont val="Comic Sans MS"/>
        <family val="4"/>
      </rPr>
      <t xml:space="preserve">Total No. of claims during current year </t>
    </r>
  </si>
  <si>
    <r>
      <rPr>
        <b/>
        <sz val="8"/>
        <color indexed="8"/>
        <rFont val="Comic Sans MS"/>
        <family val="4"/>
      </rPr>
      <t>4.</t>
    </r>
    <r>
      <rPr>
        <sz val="8"/>
        <color indexed="8"/>
        <rFont val="Comic Sans MS"/>
        <family val="4"/>
      </rPr>
      <t>Total No. of policies during current year</t>
    </r>
  </si>
  <si>
    <r>
      <rPr>
        <b/>
        <sz val="8"/>
        <color indexed="8"/>
        <rFont val="Comic Sans MS"/>
        <family val="4"/>
      </rPr>
      <t>3.</t>
    </r>
    <r>
      <rPr>
        <sz val="8"/>
        <color indexed="8"/>
        <rFont val="Comic Sans MS"/>
        <family val="4"/>
      </rPr>
      <t>Total No. of claims during previous year</t>
    </r>
  </si>
  <si>
    <r>
      <rPr>
        <b/>
        <sz val="8"/>
        <color indexed="8"/>
        <rFont val="Comic Sans MS"/>
        <family val="4"/>
      </rPr>
      <t>2.</t>
    </r>
    <r>
      <rPr>
        <sz val="8"/>
        <color indexed="8"/>
        <rFont val="Comic Sans MS"/>
        <family val="4"/>
      </rPr>
      <t>Total No . of policies during previous year</t>
    </r>
  </si>
  <si>
    <r>
      <rPr>
        <b/>
        <sz val="8"/>
        <color indexed="8"/>
        <rFont val="Comic Sans MS"/>
        <family val="4"/>
      </rPr>
      <t>g)</t>
    </r>
    <r>
      <rPr>
        <sz val="8"/>
        <color indexed="8"/>
        <rFont val="Comic Sans MS"/>
        <family val="4"/>
      </rPr>
      <t>Others</t>
    </r>
  </si>
  <si>
    <r>
      <rPr>
        <b/>
        <sz val="8"/>
        <color indexed="8"/>
        <rFont val="Comic Sans MS"/>
        <family val="4"/>
      </rPr>
      <t>f)</t>
    </r>
    <r>
      <rPr>
        <sz val="8"/>
        <color indexed="8"/>
        <rFont val="Comic Sans MS"/>
        <family val="4"/>
      </rPr>
      <t>Unfair Business Practices</t>
    </r>
  </si>
  <si>
    <r>
      <rPr>
        <b/>
        <sz val="8"/>
        <color indexed="8"/>
        <rFont val="Comic Sans MS"/>
        <family val="4"/>
      </rPr>
      <t>e)</t>
    </r>
    <r>
      <rPr>
        <sz val="8"/>
        <color indexed="8"/>
        <rFont val="Comic Sans MS"/>
        <family val="4"/>
      </rPr>
      <t>ULIP Related</t>
    </r>
  </si>
  <si>
    <r>
      <rPr>
        <b/>
        <sz val="8"/>
        <color indexed="8"/>
        <rFont val="Comic Sans MS"/>
        <family val="4"/>
      </rPr>
      <t>d)</t>
    </r>
    <r>
      <rPr>
        <sz val="8"/>
        <color indexed="8"/>
        <rFont val="Comic Sans MS"/>
        <family val="4"/>
      </rPr>
      <t>Survival Claims</t>
    </r>
  </si>
  <si>
    <r>
      <rPr>
        <b/>
        <sz val="8"/>
        <color indexed="8"/>
        <rFont val="Comic Sans MS"/>
        <family val="4"/>
      </rPr>
      <t>c)</t>
    </r>
    <r>
      <rPr>
        <sz val="8"/>
        <color indexed="8"/>
        <rFont val="Comic Sans MS"/>
        <family val="4"/>
      </rPr>
      <t>Proposal Processing</t>
    </r>
  </si>
  <si>
    <r>
      <rPr>
        <b/>
        <sz val="8"/>
        <color indexed="8"/>
        <rFont val="Comic Sans MS"/>
        <family val="4"/>
      </rPr>
      <t>b)</t>
    </r>
    <r>
      <rPr>
        <sz val="8"/>
        <color indexed="8"/>
        <rFont val="Comic Sans MS"/>
        <family val="4"/>
      </rPr>
      <t>Policy Servicing</t>
    </r>
  </si>
  <si>
    <r>
      <rPr>
        <b/>
        <sz val="8"/>
        <color indexed="8"/>
        <rFont val="Comic Sans MS"/>
        <family val="4"/>
      </rPr>
      <t>a)</t>
    </r>
    <r>
      <rPr>
        <sz val="8"/>
        <color indexed="8"/>
        <rFont val="Comic Sans MS"/>
        <family val="4"/>
      </rPr>
      <t>Death Claims</t>
    </r>
  </si>
  <si>
    <r>
      <rPr>
        <b/>
        <sz val="8"/>
        <color indexed="8"/>
        <rFont val="Comic Sans MS"/>
        <family val="4"/>
      </rPr>
      <t>a)</t>
    </r>
    <r>
      <rPr>
        <sz val="8"/>
        <color indexed="8"/>
        <rFont val="Comic Sans MS"/>
        <family val="4"/>
      </rPr>
      <t>Upto 7 days</t>
    </r>
  </si>
  <si>
    <r>
      <rPr>
        <b/>
        <sz val="8"/>
        <color indexed="8"/>
        <rFont val="Comic Sans MS"/>
        <family val="4"/>
      </rPr>
      <t>b)</t>
    </r>
    <r>
      <rPr>
        <sz val="8"/>
        <color indexed="8"/>
        <rFont val="Comic Sans MS"/>
        <family val="4"/>
      </rPr>
      <t>7 - 15 days</t>
    </r>
  </si>
  <si>
    <r>
      <rPr>
        <b/>
        <sz val="8"/>
        <color indexed="8"/>
        <rFont val="Comic Sans MS"/>
        <family val="4"/>
      </rPr>
      <t>c)</t>
    </r>
    <r>
      <rPr>
        <sz val="8"/>
        <color indexed="8"/>
        <rFont val="Comic Sans MS"/>
        <family val="4"/>
      </rPr>
      <t>15-30 days</t>
    </r>
  </si>
  <si>
    <r>
      <rPr>
        <b/>
        <sz val="8"/>
        <color indexed="8"/>
        <rFont val="Comic Sans MS"/>
        <family val="4"/>
      </rPr>
      <t>d)</t>
    </r>
    <r>
      <rPr>
        <sz val="8"/>
        <color indexed="8"/>
        <rFont val="Comic Sans MS"/>
        <family val="4"/>
      </rPr>
      <t>30-90 days</t>
    </r>
  </si>
  <si>
    <r>
      <rPr>
        <b/>
        <sz val="8"/>
        <color indexed="8"/>
        <rFont val="Comic Sans MS"/>
        <family val="4"/>
      </rPr>
      <t>e)</t>
    </r>
    <r>
      <rPr>
        <sz val="8"/>
        <color indexed="8"/>
        <rFont val="Comic Sans MS"/>
        <family val="4"/>
      </rPr>
      <t>90 days &amp; Beyond</t>
    </r>
  </si>
  <si>
    <t xml:space="preserve">DHFL Pramerica Life Insurance Company Limited </t>
  </si>
  <si>
    <t xml:space="preserve">Tata AIA Life Insurance Company Limited </t>
  </si>
  <si>
    <t>For the Quarter ending 30th June,2019</t>
  </si>
  <si>
    <t>Aviva Life Insurance Company India Limited (Registration Code: 0122)</t>
  </si>
  <si>
    <t xml:space="preserve"> Premium </t>
  </si>
  <si>
    <t xml:space="preserve"> No. of Lives </t>
  </si>
  <si>
    <t>First year Premium</t>
  </si>
  <si>
    <t>From 0-10000</t>
  </si>
  <si>
    <t>From 10,000-25,000</t>
  </si>
  <si>
    <t>From 25001-50,000</t>
  </si>
  <si>
    <t>From 50,001- 75,000</t>
  </si>
  <si>
    <t>From  75,000-100,000</t>
  </si>
  <si>
    <t>From 1,00,001 -1,25,000</t>
  </si>
  <si>
    <t>Above Rs. 1,25,000</t>
  </si>
  <si>
    <t>From 0-50000</t>
  </si>
  <si>
    <t>From 50,001-100,000</t>
  </si>
  <si>
    <t>From 1,00,001-150,000</t>
  </si>
  <si>
    <t>From 150,001- 2,00,000</t>
  </si>
  <si>
    <t>From  2,00,,001-250,000</t>
  </si>
  <si>
    <t>From 2,50,001 -3,00,000</t>
  </si>
  <si>
    <t>Above Rs. 3,00,000</t>
  </si>
  <si>
    <t>Sum Assured,Whereever Applicable</t>
  </si>
  <si>
    <t>i) Individual Single Premium- (ISP)</t>
  </si>
  <si>
    <t>ii) Individual Single Premium (ISPA)- Annuity</t>
  </si>
  <si>
    <t>iii) Group Single Premium (GSP)</t>
  </si>
  <si>
    <t>iv) Group Single Premium- Annuity- GSPA</t>
  </si>
  <si>
    <t>v) Individual non Single Premium- INSP</t>
  </si>
  <si>
    <t>vi) Individual non Single Premium- Annuity- INSPA</t>
  </si>
  <si>
    <t>vii) Group Non Single Premium (GNSP)</t>
  </si>
  <si>
    <t>viii) Group Non Single Premium- Annuity- GNSPA</t>
  </si>
  <si>
    <t>Life Insurance Industry (Total)</t>
  </si>
  <si>
    <t xml:space="preserve">Aviva Life Insurance Company India Private Limited </t>
  </si>
  <si>
    <t xml:space="preserve">Bajaj Allianz Life Insurance Company Limited </t>
  </si>
  <si>
    <t xml:space="preserve">IndiaFirst Life Insurance Company Limited </t>
  </si>
  <si>
    <t xml:space="preserve">Max Life Insurance Company Limited </t>
  </si>
  <si>
    <t xml:space="preserve">SBI Life Insurance Company Limited </t>
  </si>
  <si>
    <t xml:space="preserve"> Insurer</t>
  </si>
  <si>
    <t>13th</t>
  </si>
  <si>
    <t>25th</t>
  </si>
  <si>
    <t>37th</t>
  </si>
  <si>
    <t>49th</t>
  </si>
  <si>
    <t>61st</t>
  </si>
  <si>
    <t>Premium</t>
  </si>
  <si>
    <t>Policy</t>
  </si>
  <si>
    <t>Life Insurance Industry’s Persistency Ratios (June 2019)</t>
  </si>
  <si>
    <t>Aditya Birla Sun Life Insurance Co Ltd</t>
  </si>
  <si>
    <t>Aegon Life Insurance Co Ltd</t>
  </si>
  <si>
    <t>Aviva Life Insurance Co Ltd</t>
  </si>
  <si>
    <t>Bajaj Allianz Life Insurance Co Ltd</t>
  </si>
  <si>
    <t>Bharti AXA Life InsuranceCo Ltd</t>
  </si>
  <si>
    <t>Canara HSBC OBC Life Insurance Co Ltd</t>
  </si>
  <si>
    <t>DHFL Pramerica Life Insurance Co Ltd</t>
  </si>
  <si>
    <t>Edelweiss Tokio Life Insurance Co Ltd</t>
  </si>
  <si>
    <t>Exide Life Insurance Co Ltd</t>
  </si>
  <si>
    <t>Future Generali India Life Insurance Co Ltd</t>
  </si>
  <si>
    <t>HDFC Life Insurance Co Ltd</t>
  </si>
  <si>
    <t>ICICI Prudential Life Insurance Co Ltd</t>
  </si>
  <si>
    <t>IDBI Federal Life Insurance Co Ltd</t>
  </si>
  <si>
    <t>India First Life Insurance Co Ltd</t>
  </si>
  <si>
    <t>Kotak Mahindra Life Insurance Co Ltd</t>
  </si>
  <si>
    <t>Max Life InsuranceCo Ltd</t>
  </si>
  <si>
    <t>PNB Met Life Insurance Co Ltd</t>
  </si>
  <si>
    <t>Reliance Nippon Life Insurance Co Ltd</t>
  </si>
  <si>
    <t>Sahara India Life Insurance Co Ltd</t>
  </si>
  <si>
    <t>SBI Life Insurance Co Ltd</t>
  </si>
  <si>
    <t>Shriram Life Insurance Co Ltd</t>
  </si>
  <si>
    <t>Star Union Dai-ichi Life Insurance Co Ltd</t>
  </si>
  <si>
    <t>Tata AIA Life Insurance Co Ltd</t>
  </si>
  <si>
    <t>L25 :Geographical Representation of Life Insurance Business As on 30th June 2019</t>
  </si>
  <si>
    <t>FORM L-36 :Premium and number of lives covered by policy type As on 30th June 2019</t>
  </si>
  <si>
    <t>L 39 - Quarterly Individual Ageing of Claims (Q1 2019-20)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</si>
</sst>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omic Sans MS"/>
      <family val="4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8"/>
      <name val="Cambria"/>
      <family val="1"/>
    </font>
    <font>
      <b/>
      <sz val="8"/>
      <name val="Arial"/>
      <family val="2"/>
    </font>
    <font>
      <b/>
      <sz val="9"/>
      <color indexed="30"/>
      <name val="Comic Sans MS"/>
      <family val="4"/>
    </font>
    <font>
      <sz val="9"/>
      <color indexed="30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sz val="8"/>
      <name val="Comic Sans MS"/>
      <family val="4"/>
    </font>
    <font>
      <i/>
      <sz val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b/>
      <sz val="9"/>
      <color indexed="10"/>
      <name val="Comic Sans MS"/>
      <family val="4"/>
    </font>
    <font>
      <i/>
      <sz val="9"/>
      <color indexed="8"/>
      <name val="Comic Sans MS"/>
      <family val="4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b/>
      <i/>
      <sz val="9"/>
      <color indexed="8"/>
      <name val="Comic Sans MS"/>
      <family val="4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9"/>
      <color indexed="49"/>
      <name val="Comic Sans MS"/>
      <family val="4"/>
    </font>
    <font>
      <sz val="9"/>
      <color indexed="49"/>
      <name val="Comic Sans MS"/>
      <family val="4"/>
    </font>
    <font>
      <b/>
      <sz val="8"/>
      <color indexed="49"/>
      <name val="Comic Sans MS"/>
      <family val="4"/>
    </font>
    <font>
      <sz val="11"/>
      <color indexed="49"/>
      <name val="Comic Sans MS"/>
      <family val="4"/>
    </font>
    <font>
      <b/>
      <sz val="10"/>
      <color indexed="49"/>
      <name val="Comic Sans MS"/>
      <family val="4"/>
    </font>
    <font>
      <b/>
      <sz val="11"/>
      <color indexed="49"/>
      <name val="Comic Sans MS"/>
      <family val="4"/>
    </font>
    <font>
      <i/>
      <sz val="8"/>
      <color indexed="8"/>
      <name val="Comic Sans MS"/>
      <family val="4"/>
    </font>
    <font>
      <sz val="9"/>
      <color indexed="62"/>
      <name val="Comic Sans MS"/>
      <family val="4"/>
    </font>
    <font>
      <b/>
      <sz val="9"/>
      <color indexed="62"/>
      <name val="Comic Sans MS"/>
      <family val="4"/>
    </font>
    <font>
      <sz val="11"/>
      <color indexed="62"/>
      <name val="Comic Sans MS"/>
      <family val="4"/>
    </font>
    <font>
      <b/>
      <sz val="8"/>
      <color indexed="62"/>
      <name val="Comic Sans MS"/>
      <family val="4"/>
    </font>
    <font>
      <sz val="8"/>
      <color indexed="62"/>
      <name val="Comic Sans MS"/>
      <family val="4"/>
    </font>
    <font>
      <b/>
      <sz val="11"/>
      <color indexed="62"/>
      <name val="Comic Sans MS"/>
      <family val="4"/>
    </font>
    <font>
      <b/>
      <sz val="10"/>
      <color indexed="62"/>
      <name val="Comic Sans MS"/>
      <family val="4"/>
    </font>
    <font>
      <b/>
      <sz val="8"/>
      <color indexed="62"/>
      <name val="Cambria"/>
      <family val="1"/>
    </font>
    <font>
      <b/>
      <sz val="11"/>
      <color indexed="8"/>
      <name val="Comic Sans MS"/>
      <family val="4"/>
    </font>
    <font>
      <sz val="9"/>
      <color indexed="8"/>
      <name val="Cambria"/>
      <family val="1"/>
    </font>
    <font>
      <sz val="8"/>
      <color indexed="8"/>
      <name val="CIDFontF"/>
      <family val="0"/>
    </font>
    <font>
      <sz val="8"/>
      <color indexed="10"/>
      <name val="Comic Sans MS"/>
      <family val="4"/>
    </font>
    <font>
      <b/>
      <sz val="8"/>
      <color indexed="10"/>
      <name val="Comic Sans MS"/>
      <family val="4"/>
    </font>
    <font>
      <b/>
      <sz val="8"/>
      <color indexed="30"/>
      <name val="Comic Sans MS"/>
      <family val="4"/>
    </font>
    <font>
      <b/>
      <sz val="11"/>
      <color indexed="30"/>
      <name val="Comic Sans MS"/>
      <family val="4"/>
    </font>
    <font>
      <b/>
      <sz val="10"/>
      <color indexed="30"/>
      <name val="Comic Sans MS"/>
      <family val="4"/>
    </font>
    <font>
      <b/>
      <sz val="14"/>
      <color indexed="8"/>
      <name val="Comic Sans MS"/>
      <family val="4"/>
    </font>
    <font>
      <b/>
      <i/>
      <sz val="9"/>
      <color indexed="62"/>
      <name val="Comic Sans MS"/>
      <family val="4"/>
    </font>
    <font>
      <b/>
      <sz val="10"/>
      <color indexed="8"/>
      <name val="Arial"/>
      <family val="2"/>
    </font>
    <font>
      <b/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b/>
      <sz val="9"/>
      <color rgb="FFFF0000"/>
      <name val="Comic Sans MS"/>
      <family val="4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i/>
      <sz val="9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9"/>
      <color rgb="FF000000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i/>
      <sz val="9"/>
      <color theme="1"/>
      <name val="Comic Sans MS"/>
      <family val="4"/>
    </font>
    <font>
      <sz val="8"/>
      <color rgb="FF000000"/>
      <name val="Cambria"/>
      <family val="1"/>
    </font>
    <font>
      <b/>
      <sz val="8"/>
      <color rgb="FF000000"/>
      <name val="Cambria"/>
      <family val="1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i/>
      <sz val="8"/>
      <color rgb="FF000000"/>
      <name val="Comic Sans MS"/>
      <family val="4"/>
    </font>
    <font>
      <b/>
      <sz val="10"/>
      <color rgb="FF000000"/>
      <name val="Comic Sans MS"/>
      <family val="4"/>
    </font>
    <font>
      <sz val="9"/>
      <color theme="8"/>
      <name val="Comic Sans MS"/>
      <family val="4"/>
    </font>
    <font>
      <b/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</font>
    <font>
      <b/>
      <sz val="8"/>
      <color theme="8"/>
      <name val="Comic Sans MS"/>
      <family val="4"/>
    </font>
    <font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0"/>
      <color theme="8"/>
      <name val="Comic Sans MS"/>
      <family val="4"/>
    </font>
    <font>
      <b/>
      <sz val="8"/>
      <color theme="8"/>
      <name val="Cambria"/>
      <family val="1"/>
    </font>
    <font>
      <sz val="10"/>
      <color rgb="FF000000"/>
      <name val="Comic Sans MS"/>
      <family val="4"/>
    </font>
    <font>
      <b/>
      <sz val="11"/>
      <color theme="1"/>
      <name val="Comic Sans MS"/>
      <family val="4"/>
    </font>
    <font>
      <sz val="9"/>
      <color rgb="FF000000"/>
      <name val="Cambria"/>
      <family val="1"/>
    </font>
    <font>
      <sz val="8"/>
      <color rgb="FF000000"/>
      <name val="CIDFontF"/>
      <family val="0"/>
    </font>
    <font>
      <sz val="8"/>
      <color rgb="FFFF0000"/>
      <name val="Comic Sans MS"/>
      <family val="4"/>
    </font>
    <font>
      <b/>
      <sz val="8"/>
      <color rgb="FFFF0000"/>
      <name val="Comic Sans MS"/>
      <family val="4"/>
    </font>
    <font>
      <b/>
      <sz val="9"/>
      <color rgb="FF0070C0"/>
      <name val="Comic Sans MS"/>
      <family val="4"/>
    </font>
    <font>
      <sz val="9"/>
      <color rgb="FF0070C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14"/>
      <color theme="1"/>
      <name val="Comic Sans MS"/>
      <family val="4"/>
    </font>
    <font>
      <b/>
      <i/>
      <sz val="9"/>
      <color theme="8"/>
      <name val="Comic Sans MS"/>
      <family val="4"/>
    </font>
    <font>
      <b/>
      <sz val="10"/>
      <color theme="1"/>
      <name val="Arial"/>
      <family val="2"/>
    </font>
    <font>
      <b/>
      <sz val="12"/>
      <color rgb="FF000000"/>
      <name val="Comic Sans MS"/>
      <family val="4"/>
    </font>
    <font>
      <b/>
      <u val="single"/>
      <sz val="12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173">
    <xf numFmtId="0" fontId="0" fillId="0" borderId="0" xfId="0" applyFont="1" applyAlignment="1">
      <alignment/>
    </xf>
    <xf numFmtId="0" fontId="91" fillId="0" borderId="10" xfId="0" applyFont="1" applyBorder="1" applyAlignment="1">
      <alignment horizontal="left" vertical="center"/>
    </xf>
    <xf numFmtId="2" fontId="92" fillId="0" borderId="11" xfId="0" applyNumberFormat="1" applyFont="1" applyBorder="1" applyAlignment="1">
      <alignment horizontal="left"/>
    </xf>
    <xf numFmtId="2" fontId="92" fillId="0" borderId="12" xfId="0" applyNumberFormat="1" applyFont="1" applyBorder="1" applyAlignment="1">
      <alignment horizontal="left"/>
    </xf>
    <xf numFmtId="2" fontId="92" fillId="0" borderId="10" xfId="0" applyNumberFormat="1" applyFont="1" applyBorder="1" applyAlignment="1">
      <alignment horizontal="left"/>
    </xf>
    <xf numFmtId="2" fontId="92" fillId="0" borderId="12" xfId="44" applyNumberFormat="1" applyFont="1" applyBorder="1" applyAlignment="1">
      <alignment horizontal="left"/>
    </xf>
    <xf numFmtId="2" fontId="92" fillId="0" borderId="10" xfId="44" applyNumberFormat="1" applyFont="1" applyBorder="1" applyAlignment="1">
      <alignment horizontal="left"/>
    </xf>
    <xf numFmtId="2" fontId="91" fillId="0" borderId="11" xfId="0" applyNumberFormat="1" applyFont="1" applyBorder="1" applyAlignment="1">
      <alignment horizontal="left"/>
    </xf>
    <xf numFmtId="2" fontId="91" fillId="0" borderId="12" xfId="0" applyNumberFormat="1" applyFont="1" applyBorder="1" applyAlignment="1">
      <alignment horizontal="left"/>
    </xf>
    <xf numFmtId="2" fontId="91" fillId="0" borderId="10" xfId="0" applyNumberFormat="1" applyFont="1" applyBorder="1" applyAlignment="1">
      <alignment horizontal="left"/>
    </xf>
    <xf numFmtId="2" fontId="93" fillId="0" borderId="11" xfId="0" applyNumberFormat="1" applyFont="1" applyBorder="1" applyAlignment="1">
      <alignment horizontal="left"/>
    </xf>
    <xf numFmtId="2" fontId="93" fillId="0" borderId="12" xfId="0" applyNumberFormat="1" applyFont="1" applyBorder="1" applyAlignment="1">
      <alignment horizontal="left"/>
    </xf>
    <xf numFmtId="2" fontId="93" fillId="0" borderId="10" xfId="0" applyNumberFormat="1" applyFont="1" applyBorder="1" applyAlignment="1">
      <alignment horizontal="left"/>
    </xf>
    <xf numFmtId="0" fontId="94" fillId="0" borderId="12" xfId="0" applyFont="1" applyBorder="1" applyAlignment="1">
      <alignment horizontal="left"/>
    </xf>
    <xf numFmtId="0" fontId="92" fillId="0" borderId="0" xfId="0" applyFont="1" applyAlignment="1">
      <alignment horizontal="left"/>
    </xf>
    <xf numFmtId="1" fontId="92" fillId="0" borderId="12" xfId="0" applyNumberFormat="1" applyFont="1" applyBorder="1" applyAlignment="1">
      <alignment horizontal="left" vertical="center"/>
    </xf>
    <xf numFmtId="1" fontId="91" fillId="0" borderId="12" xfId="0" applyNumberFormat="1" applyFont="1" applyBorder="1" applyAlignment="1">
      <alignment horizontal="left" vertical="center"/>
    </xf>
    <xf numFmtId="1" fontId="91" fillId="0" borderId="11" xfId="0" applyNumberFormat="1" applyFont="1" applyBorder="1" applyAlignment="1">
      <alignment horizontal="left" vertical="center"/>
    </xf>
    <xf numFmtId="1" fontId="91" fillId="0" borderId="13" xfId="0" applyNumberFormat="1" applyFont="1" applyBorder="1" applyAlignment="1">
      <alignment horizontal="left" vertical="center"/>
    </xf>
    <xf numFmtId="1" fontId="91" fillId="0" borderId="10" xfId="0" applyNumberFormat="1" applyFont="1" applyBorder="1" applyAlignment="1">
      <alignment horizontal="left" vertical="center"/>
    </xf>
    <xf numFmtId="1" fontId="91" fillId="0" borderId="0" xfId="0" applyNumberFormat="1" applyFont="1" applyFill="1" applyBorder="1" applyAlignment="1">
      <alignment horizontal="left" vertical="center"/>
    </xf>
    <xf numFmtId="3" fontId="95" fillId="0" borderId="13" xfId="0" applyNumberFormat="1" applyFont="1" applyBorder="1" applyAlignment="1">
      <alignment horizontal="left"/>
    </xf>
    <xf numFmtId="3" fontId="95" fillId="0" borderId="12" xfId="0" applyNumberFormat="1" applyFont="1" applyBorder="1" applyAlignment="1">
      <alignment horizontal="left"/>
    </xf>
    <xf numFmtId="3" fontId="95" fillId="0" borderId="10" xfId="0" applyNumberFormat="1" applyFont="1" applyBorder="1" applyAlignment="1">
      <alignment horizontal="left"/>
    </xf>
    <xf numFmtId="1" fontId="92" fillId="0" borderId="12" xfId="0" applyNumberFormat="1" applyFont="1" applyBorder="1" applyAlignment="1">
      <alignment horizontal="left"/>
    </xf>
    <xf numFmtId="1" fontId="92" fillId="0" borderId="11" xfId="0" applyNumberFormat="1" applyFont="1" applyBorder="1" applyAlignment="1">
      <alignment horizontal="left"/>
    </xf>
    <xf numFmtId="2" fontId="92" fillId="0" borderId="13" xfId="0" applyNumberFormat="1" applyFont="1" applyBorder="1" applyAlignment="1">
      <alignment horizontal="left"/>
    </xf>
    <xf numFmtId="1" fontId="92" fillId="0" borderId="13" xfId="0" applyNumberFormat="1" applyFont="1" applyBorder="1" applyAlignment="1">
      <alignment horizontal="left"/>
    </xf>
    <xf numFmtId="1" fontId="92" fillId="0" borderId="10" xfId="0" applyNumberFormat="1" applyFont="1" applyBorder="1" applyAlignment="1">
      <alignment horizontal="left"/>
    </xf>
    <xf numFmtId="1" fontId="92" fillId="0" borderId="13" xfId="44" applyNumberFormat="1" applyFont="1" applyBorder="1" applyAlignment="1">
      <alignment horizontal="left"/>
    </xf>
    <xf numFmtId="1" fontId="92" fillId="0" borderId="12" xfId="44" applyNumberFormat="1" applyFont="1" applyBorder="1" applyAlignment="1">
      <alignment horizontal="left"/>
    </xf>
    <xf numFmtId="1" fontId="92" fillId="0" borderId="10" xfId="44" applyNumberFormat="1" applyFont="1" applyBorder="1" applyAlignment="1">
      <alignment horizontal="left"/>
    </xf>
    <xf numFmtId="2" fontId="92" fillId="0" borderId="13" xfId="0" applyNumberFormat="1" applyFont="1" applyBorder="1" applyAlignment="1">
      <alignment horizontal="left" wrapText="1"/>
    </xf>
    <xf numFmtId="1" fontId="92" fillId="0" borderId="13" xfId="0" applyNumberFormat="1" applyFont="1" applyFill="1" applyBorder="1" applyAlignment="1">
      <alignment horizontal="left"/>
    </xf>
    <xf numFmtId="1" fontId="92" fillId="0" borderId="12" xfId="0" applyNumberFormat="1" applyFont="1" applyFill="1" applyBorder="1" applyAlignment="1">
      <alignment horizontal="left"/>
    </xf>
    <xf numFmtId="1" fontId="92" fillId="0" borderId="10" xfId="0" applyNumberFormat="1" applyFont="1" applyFill="1" applyBorder="1" applyAlignment="1">
      <alignment horizontal="left"/>
    </xf>
    <xf numFmtId="1" fontId="92" fillId="0" borderId="13" xfId="42" applyNumberFormat="1" applyFont="1" applyBorder="1" applyAlignment="1">
      <alignment horizontal="left"/>
    </xf>
    <xf numFmtId="1" fontId="92" fillId="0" borderId="12" xfId="42" applyNumberFormat="1" applyFont="1" applyBorder="1" applyAlignment="1">
      <alignment horizontal="left"/>
    </xf>
    <xf numFmtId="1" fontId="92" fillId="0" borderId="10" xfId="42" applyNumberFormat="1" applyFont="1" applyBorder="1" applyAlignment="1">
      <alignment horizontal="left"/>
    </xf>
    <xf numFmtId="1" fontId="91" fillId="0" borderId="13" xfId="42" applyNumberFormat="1" applyFont="1" applyBorder="1" applyAlignment="1">
      <alignment horizontal="left"/>
    </xf>
    <xf numFmtId="1" fontId="91" fillId="0" borderId="12" xfId="42" applyNumberFormat="1" applyFont="1" applyBorder="1" applyAlignment="1">
      <alignment horizontal="left"/>
    </xf>
    <xf numFmtId="0" fontId="95" fillId="0" borderId="13" xfId="0" applyFont="1" applyBorder="1" applyAlignment="1">
      <alignment horizontal="left"/>
    </xf>
    <xf numFmtId="0" fontId="95" fillId="0" borderId="12" xfId="0" applyFont="1" applyBorder="1" applyAlignment="1">
      <alignment horizontal="left"/>
    </xf>
    <xf numFmtId="1" fontId="91" fillId="0" borderId="12" xfId="0" applyNumberFormat="1" applyFont="1" applyBorder="1" applyAlignment="1">
      <alignment horizontal="left"/>
    </xf>
    <xf numFmtId="1" fontId="91" fillId="0" borderId="11" xfId="0" applyNumberFormat="1" applyFont="1" applyBorder="1" applyAlignment="1">
      <alignment horizontal="left"/>
    </xf>
    <xf numFmtId="2" fontId="91" fillId="0" borderId="13" xfId="0" applyNumberFormat="1" applyFont="1" applyBorder="1" applyAlignment="1">
      <alignment horizontal="left"/>
    </xf>
    <xf numFmtId="1" fontId="91" fillId="0" borderId="13" xfId="0" applyNumberFormat="1" applyFont="1" applyBorder="1" applyAlignment="1">
      <alignment horizontal="left"/>
    </xf>
    <xf numFmtId="1" fontId="91" fillId="0" borderId="10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92" fillId="0" borderId="0" xfId="0" applyNumberFormat="1" applyFont="1" applyAlignment="1">
      <alignment horizontal="left"/>
    </xf>
    <xf numFmtId="1" fontId="91" fillId="0" borderId="14" xfId="0" applyNumberFormat="1" applyFont="1" applyBorder="1" applyAlignment="1">
      <alignment horizontal="left"/>
    </xf>
    <xf numFmtId="2" fontId="91" fillId="0" borderId="12" xfId="0" applyNumberFormat="1" applyFont="1" applyBorder="1" applyAlignment="1">
      <alignment horizontal="left" vertical="center"/>
    </xf>
    <xf numFmtId="1" fontId="92" fillId="0" borderId="14" xfId="44" applyNumberFormat="1" applyFont="1" applyBorder="1" applyAlignment="1">
      <alignment horizontal="left"/>
    </xf>
    <xf numFmtId="2" fontId="92" fillId="0" borderId="14" xfId="0" applyNumberFormat="1" applyFont="1" applyBorder="1" applyAlignment="1">
      <alignment horizontal="left"/>
    </xf>
    <xf numFmtId="0" fontId="91" fillId="0" borderId="0" xfId="0" applyFont="1" applyFill="1" applyBorder="1" applyAlignment="1">
      <alignment horizontal="left"/>
    </xf>
    <xf numFmtId="0" fontId="96" fillId="0" borderId="0" xfId="0" applyFont="1" applyBorder="1" applyAlignment="1">
      <alignment horizontal="left"/>
    </xf>
    <xf numFmtId="0" fontId="95" fillId="0" borderId="15" xfId="0" applyFont="1" applyBorder="1" applyAlignment="1">
      <alignment horizontal="left"/>
    </xf>
    <xf numFmtId="1" fontId="92" fillId="0" borderId="16" xfId="0" applyNumberFormat="1" applyFont="1" applyBorder="1" applyAlignment="1">
      <alignment horizontal="left" vertical="center"/>
    </xf>
    <xf numFmtId="1" fontId="92" fillId="0" borderId="14" xfId="0" applyNumberFormat="1" applyFont="1" applyBorder="1" applyAlignment="1">
      <alignment horizontal="left" vertical="center"/>
    </xf>
    <xf numFmtId="1" fontId="92" fillId="0" borderId="17" xfId="0" applyNumberFormat="1" applyFont="1" applyBorder="1" applyAlignment="1">
      <alignment horizontal="left"/>
    </xf>
    <xf numFmtId="1" fontId="92" fillId="0" borderId="14" xfId="0" applyNumberFormat="1" applyFont="1" applyBorder="1" applyAlignment="1">
      <alignment horizontal="left"/>
    </xf>
    <xf numFmtId="1" fontId="92" fillId="0" borderId="18" xfId="0" applyNumberFormat="1" applyFont="1" applyBorder="1" applyAlignment="1">
      <alignment horizontal="left"/>
    </xf>
    <xf numFmtId="1" fontId="92" fillId="0" borderId="16" xfId="0" applyNumberFormat="1" applyFont="1" applyBorder="1" applyAlignment="1">
      <alignment horizontal="left"/>
    </xf>
    <xf numFmtId="2" fontId="92" fillId="0" borderId="17" xfId="0" applyNumberFormat="1" applyFont="1" applyBorder="1" applyAlignment="1">
      <alignment horizontal="left"/>
    </xf>
    <xf numFmtId="2" fontId="92" fillId="0" borderId="18" xfId="0" applyNumberFormat="1" applyFont="1" applyBorder="1" applyAlignment="1">
      <alignment horizontal="left"/>
    </xf>
    <xf numFmtId="1" fontId="92" fillId="0" borderId="16" xfId="44" applyNumberFormat="1" applyFont="1" applyBorder="1" applyAlignment="1">
      <alignment horizontal="left"/>
    </xf>
    <xf numFmtId="1" fontId="92" fillId="0" borderId="18" xfId="44" applyNumberFormat="1" applyFont="1" applyBorder="1" applyAlignment="1">
      <alignment horizontal="left"/>
    </xf>
    <xf numFmtId="1" fontId="92" fillId="0" borderId="17" xfId="0" applyNumberFormat="1" applyFont="1" applyFill="1" applyBorder="1" applyAlignment="1">
      <alignment horizontal="left"/>
    </xf>
    <xf numFmtId="1" fontId="92" fillId="0" borderId="14" xfId="0" applyNumberFormat="1" applyFont="1" applyFill="1" applyBorder="1" applyAlignment="1">
      <alignment horizontal="left"/>
    </xf>
    <xf numFmtId="1" fontId="92" fillId="0" borderId="17" xfId="42" applyNumberFormat="1" applyFont="1" applyBorder="1" applyAlignment="1">
      <alignment horizontal="left"/>
    </xf>
    <xf numFmtId="1" fontId="92" fillId="0" borderId="14" xfId="42" applyNumberFormat="1" applyFont="1" applyBorder="1" applyAlignment="1">
      <alignment horizontal="left"/>
    </xf>
    <xf numFmtId="1" fontId="91" fillId="0" borderId="17" xfId="0" applyNumberFormat="1" applyFont="1" applyBorder="1" applyAlignment="1">
      <alignment horizontal="left"/>
    </xf>
    <xf numFmtId="1" fontId="91" fillId="0" borderId="19" xfId="0" applyNumberFormat="1" applyFont="1" applyBorder="1" applyAlignment="1">
      <alignment horizontal="left"/>
    </xf>
    <xf numFmtId="2" fontId="92" fillId="0" borderId="0" xfId="0" applyNumberFormat="1" applyFont="1" applyAlignment="1">
      <alignment horizontal="left"/>
    </xf>
    <xf numFmtId="1" fontId="92" fillId="0" borderId="11" xfId="0" applyNumberFormat="1" applyFont="1" applyBorder="1" applyAlignment="1">
      <alignment horizontal="left" vertical="center"/>
    </xf>
    <xf numFmtId="1" fontId="92" fillId="0" borderId="10" xfId="0" applyNumberFormat="1" applyFont="1" applyBorder="1" applyAlignment="1">
      <alignment horizontal="left" vertical="center"/>
    </xf>
    <xf numFmtId="1" fontId="92" fillId="0" borderId="11" xfId="44" applyNumberFormat="1" applyFont="1" applyBorder="1" applyAlignment="1">
      <alignment horizontal="left"/>
    </xf>
    <xf numFmtId="1" fontId="91" fillId="0" borderId="20" xfId="0" applyNumberFormat="1" applyFont="1" applyBorder="1" applyAlignment="1">
      <alignment horizontal="left"/>
    </xf>
    <xf numFmtId="1" fontId="91" fillId="0" borderId="21" xfId="0" applyNumberFormat="1" applyFont="1" applyBorder="1" applyAlignment="1">
      <alignment horizontal="left"/>
    </xf>
    <xf numFmtId="1" fontId="91" fillId="0" borderId="22" xfId="0" applyNumberFormat="1" applyFont="1" applyBorder="1" applyAlignment="1">
      <alignment horizontal="left"/>
    </xf>
    <xf numFmtId="1" fontId="91" fillId="0" borderId="23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 horizontal="left"/>
    </xf>
    <xf numFmtId="1" fontId="3" fillId="0" borderId="21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left"/>
    </xf>
    <xf numFmtId="1" fontId="92" fillId="0" borderId="20" xfId="0" applyNumberFormat="1" applyFont="1" applyFill="1" applyBorder="1" applyAlignment="1">
      <alignment horizontal="left"/>
    </xf>
    <xf numFmtId="1" fontId="92" fillId="0" borderId="21" xfId="0" applyNumberFormat="1" applyFont="1" applyFill="1" applyBorder="1" applyAlignment="1">
      <alignment horizontal="left"/>
    </xf>
    <xf numFmtId="1" fontId="92" fillId="0" borderId="22" xfId="0" applyNumberFormat="1" applyFont="1" applyFill="1" applyBorder="1" applyAlignment="1">
      <alignment horizontal="left"/>
    </xf>
    <xf numFmtId="2" fontId="91" fillId="0" borderId="20" xfId="0" applyNumberFormat="1" applyFont="1" applyBorder="1" applyAlignment="1">
      <alignment horizontal="left"/>
    </xf>
    <xf numFmtId="2" fontId="91" fillId="0" borderId="21" xfId="0" applyNumberFormat="1" applyFont="1" applyBorder="1" applyAlignment="1">
      <alignment horizontal="left"/>
    </xf>
    <xf numFmtId="2" fontId="91" fillId="0" borderId="22" xfId="0" applyNumberFormat="1" applyFont="1" applyBorder="1" applyAlignment="1">
      <alignment horizontal="left"/>
    </xf>
    <xf numFmtId="0" fontId="97" fillId="0" borderId="0" xfId="0" applyFont="1" applyAlignment="1">
      <alignment horizontal="left"/>
    </xf>
    <xf numFmtId="2" fontId="92" fillId="0" borderId="12" xfId="0" applyNumberFormat="1" applyFont="1" applyBorder="1" applyAlignment="1">
      <alignment horizontal="left" vertical="center"/>
    </xf>
    <xf numFmtId="2" fontId="92" fillId="0" borderId="24" xfId="0" applyNumberFormat="1" applyFont="1" applyBorder="1" applyAlignment="1">
      <alignment horizontal="left" vertical="center"/>
    </xf>
    <xf numFmtId="2" fontId="98" fillId="0" borderId="11" xfId="0" applyNumberFormat="1" applyFont="1" applyBorder="1" applyAlignment="1">
      <alignment horizontal="left"/>
    </xf>
    <xf numFmtId="2" fontId="98" fillId="0" borderId="12" xfId="0" applyNumberFormat="1" applyFont="1" applyBorder="1" applyAlignment="1">
      <alignment horizontal="left"/>
    </xf>
    <xf numFmtId="2" fontId="98" fillId="0" borderId="24" xfId="0" applyNumberFormat="1" applyFont="1" applyBorder="1" applyAlignment="1">
      <alignment horizontal="left"/>
    </xf>
    <xf numFmtId="2" fontId="98" fillId="0" borderId="10" xfId="0" applyNumberFormat="1" applyFont="1" applyBorder="1" applyAlignment="1">
      <alignment horizontal="left"/>
    </xf>
    <xf numFmtId="0" fontId="92" fillId="0" borderId="12" xfId="0" applyFont="1" applyBorder="1" applyAlignment="1">
      <alignment horizontal="left"/>
    </xf>
    <xf numFmtId="0" fontId="92" fillId="0" borderId="10" xfId="0" applyFont="1" applyBorder="1" applyAlignment="1">
      <alignment horizontal="left"/>
    </xf>
    <xf numFmtId="2" fontId="98" fillId="0" borderId="13" xfId="0" applyNumberFormat="1" applyFont="1" applyBorder="1" applyAlignment="1">
      <alignment horizontal="left"/>
    </xf>
    <xf numFmtId="164" fontId="94" fillId="0" borderId="12" xfId="0" applyNumberFormat="1" applyFont="1" applyBorder="1" applyAlignment="1">
      <alignment horizontal="left"/>
    </xf>
    <xf numFmtId="2" fontId="98" fillId="0" borderId="11" xfId="0" applyNumberFormat="1" applyFont="1" applyFill="1" applyBorder="1" applyAlignment="1">
      <alignment horizontal="left"/>
    </xf>
    <xf numFmtId="2" fontId="98" fillId="0" borderId="12" xfId="0" applyNumberFormat="1" applyFont="1" applyFill="1" applyBorder="1" applyAlignment="1">
      <alignment horizontal="left"/>
    </xf>
    <xf numFmtId="2" fontId="98" fillId="0" borderId="10" xfId="0" applyNumberFormat="1" applyFont="1" applyFill="1" applyBorder="1" applyAlignment="1">
      <alignment horizontal="left"/>
    </xf>
    <xf numFmtId="2" fontId="98" fillId="0" borderId="13" xfId="42" applyNumberFormat="1" applyFont="1" applyBorder="1" applyAlignment="1">
      <alignment horizontal="left"/>
    </xf>
    <xf numFmtId="2" fontId="98" fillId="0" borderId="12" xfId="42" applyNumberFormat="1" applyFont="1" applyBorder="1" applyAlignment="1">
      <alignment horizontal="left"/>
    </xf>
    <xf numFmtId="2" fontId="98" fillId="0" borderId="10" xfId="42" applyNumberFormat="1" applyFont="1" applyBorder="1" applyAlignment="1">
      <alignment horizontal="left"/>
    </xf>
    <xf numFmtId="2" fontId="99" fillId="0" borderId="13" xfId="0" applyNumberFormat="1" applyFont="1" applyBorder="1" applyAlignment="1">
      <alignment horizontal="left"/>
    </xf>
    <xf numFmtId="2" fontId="98" fillId="0" borderId="11" xfId="42" applyNumberFormat="1" applyFont="1" applyBorder="1" applyAlignment="1">
      <alignment horizontal="left"/>
    </xf>
    <xf numFmtId="2" fontId="99" fillId="0" borderId="11" xfId="0" applyNumberFormat="1" applyFont="1" applyBorder="1" applyAlignment="1">
      <alignment horizontal="left"/>
    </xf>
    <xf numFmtId="3" fontId="94" fillId="0" borderId="12" xfId="0" applyNumberFormat="1" applyFont="1" applyBorder="1" applyAlignment="1">
      <alignment horizontal="left"/>
    </xf>
    <xf numFmtId="2" fontId="91" fillId="0" borderId="11" xfId="0" applyNumberFormat="1" applyFont="1" applyBorder="1" applyAlignment="1">
      <alignment horizontal="left" vertical="center"/>
    </xf>
    <xf numFmtId="2" fontId="99" fillId="0" borderId="12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93" fillId="0" borderId="12" xfId="0" applyNumberFormat="1" applyFont="1" applyBorder="1" applyAlignment="1">
      <alignment horizontal="left" vertical="center"/>
    </xf>
    <xf numFmtId="2" fontId="97" fillId="0" borderId="0" xfId="0" applyNumberFormat="1" applyFont="1" applyAlignment="1">
      <alignment horizontal="left"/>
    </xf>
    <xf numFmtId="2" fontId="91" fillId="0" borderId="11" xfId="44" applyNumberFormat="1" applyFont="1" applyBorder="1" applyAlignment="1">
      <alignment horizontal="left"/>
    </xf>
    <xf numFmtId="2" fontId="91" fillId="0" borderId="12" xfId="44" applyNumberFormat="1" applyFont="1" applyBorder="1" applyAlignment="1">
      <alignment horizontal="left"/>
    </xf>
    <xf numFmtId="0" fontId="100" fillId="0" borderId="0" xfId="0" applyFont="1" applyBorder="1" applyAlignment="1">
      <alignment horizontal="left"/>
    </xf>
    <xf numFmtId="0" fontId="100" fillId="0" borderId="25" xfId="0" applyFont="1" applyBorder="1" applyAlignment="1">
      <alignment horizontal="left"/>
    </xf>
    <xf numFmtId="0" fontId="91" fillId="0" borderId="0" xfId="0" applyFont="1" applyAlignment="1">
      <alignment/>
    </xf>
    <xf numFmtId="0" fontId="101" fillId="0" borderId="0" xfId="0" applyFont="1" applyAlignment="1">
      <alignment horizontal="left"/>
    </xf>
    <xf numFmtId="2" fontId="91" fillId="0" borderId="13" xfId="0" applyNumberFormat="1" applyFont="1" applyBorder="1" applyAlignment="1">
      <alignment horizontal="left" vertical="center"/>
    </xf>
    <xf numFmtId="2" fontId="91" fillId="0" borderId="10" xfId="0" applyNumberFormat="1" applyFont="1" applyBorder="1" applyAlignment="1">
      <alignment horizontal="left" vertical="center"/>
    </xf>
    <xf numFmtId="0" fontId="91" fillId="0" borderId="0" xfId="0" applyFont="1" applyAlignment="1">
      <alignment horizontal="left"/>
    </xf>
    <xf numFmtId="2" fontId="91" fillId="0" borderId="24" xfId="0" applyNumberFormat="1" applyFont="1" applyBorder="1" applyAlignment="1">
      <alignment horizontal="left"/>
    </xf>
    <xf numFmtId="2" fontId="91" fillId="0" borderId="11" xfId="0" applyNumberFormat="1" applyFont="1" applyFill="1" applyBorder="1" applyAlignment="1">
      <alignment horizontal="left"/>
    </xf>
    <xf numFmtId="2" fontId="91" fillId="0" borderId="12" xfId="0" applyNumberFormat="1" applyFont="1" applyFill="1" applyBorder="1" applyAlignment="1">
      <alignment horizontal="left"/>
    </xf>
    <xf numFmtId="2" fontId="91" fillId="0" borderId="10" xfId="0" applyNumberFormat="1" applyFont="1" applyFill="1" applyBorder="1" applyAlignment="1">
      <alignment horizontal="left"/>
    </xf>
    <xf numFmtId="2" fontId="91" fillId="0" borderId="11" xfId="42" applyNumberFormat="1" applyFont="1" applyBorder="1" applyAlignment="1">
      <alignment horizontal="left"/>
    </xf>
    <xf numFmtId="2" fontId="91" fillId="0" borderId="12" xfId="42" applyNumberFormat="1" applyFont="1" applyBorder="1" applyAlignment="1">
      <alignment horizontal="left"/>
    </xf>
    <xf numFmtId="2" fontId="91" fillId="0" borderId="10" xfId="42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91" fillId="0" borderId="11" xfId="0" applyNumberFormat="1" applyFont="1" applyBorder="1" applyAlignment="1">
      <alignment horizontal="left" wrapText="1"/>
    </xf>
    <xf numFmtId="0" fontId="100" fillId="0" borderId="26" xfId="0" applyFont="1" applyBorder="1" applyAlignment="1">
      <alignment horizontal="left"/>
    </xf>
    <xf numFmtId="2" fontId="93" fillId="0" borderId="10" xfId="0" applyNumberFormat="1" applyFont="1" applyBorder="1" applyAlignment="1">
      <alignment horizontal="left" vertical="center"/>
    </xf>
    <xf numFmtId="0" fontId="97" fillId="0" borderId="0" xfId="0" applyFont="1" applyAlignment="1">
      <alignment/>
    </xf>
    <xf numFmtId="0" fontId="94" fillId="0" borderId="27" xfId="0" applyFont="1" applyBorder="1" applyAlignment="1">
      <alignment horizontal="left"/>
    </xf>
    <xf numFmtId="1" fontId="101" fillId="0" borderId="11" xfId="0" applyNumberFormat="1" applyFont="1" applyBorder="1" applyAlignment="1">
      <alignment horizontal="left" vertical="center"/>
    </xf>
    <xf numFmtId="0" fontId="102" fillId="0" borderId="12" xfId="0" applyFont="1" applyBorder="1" applyAlignment="1">
      <alignment horizontal="left"/>
    </xf>
    <xf numFmtId="0" fontId="102" fillId="0" borderId="10" xfId="0" applyFont="1" applyBorder="1" applyAlignment="1">
      <alignment horizontal="left"/>
    </xf>
    <xf numFmtId="0" fontId="102" fillId="0" borderId="0" xfId="0" applyFont="1" applyAlignment="1">
      <alignment horizontal="left"/>
    </xf>
    <xf numFmtId="2" fontId="102" fillId="0" borderId="12" xfId="0" applyNumberFormat="1" applyFont="1" applyBorder="1" applyAlignment="1">
      <alignment horizontal="left" vertical="center"/>
    </xf>
    <xf numFmtId="2" fontId="102" fillId="0" borderId="10" xfId="0" applyNumberFormat="1" applyFont="1" applyBorder="1" applyAlignment="1">
      <alignment horizontal="left" vertical="center"/>
    </xf>
    <xf numFmtId="2" fontId="102" fillId="0" borderId="11" xfId="0" applyNumberFormat="1" applyFont="1" applyBorder="1" applyAlignment="1">
      <alignment horizontal="left"/>
    </xf>
    <xf numFmtId="2" fontId="102" fillId="0" borderId="12" xfId="0" applyNumberFormat="1" applyFont="1" applyBorder="1" applyAlignment="1">
      <alignment horizontal="left"/>
    </xf>
    <xf numFmtId="2" fontId="102" fillId="0" borderId="10" xfId="0" applyNumberFormat="1" applyFont="1" applyBorder="1" applyAlignment="1">
      <alignment horizontal="left"/>
    </xf>
    <xf numFmtId="2" fontId="102" fillId="0" borderId="24" xfId="0" applyNumberFormat="1" applyFont="1" applyBorder="1" applyAlignment="1">
      <alignment horizontal="left"/>
    </xf>
    <xf numFmtId="1" fontId="102" fillId="0" borderId="11" xfId="0" applyNumberFormat="1" applyFont="1" applyBorder="1" applyAlignment="1">
      <alignment horizontal="left"/>
    </xf>
    <xf numFmtId="1" fontId="102" fillId="0" borderId="12" xfId="0" applyNumberFormat="1" applyFont="1" applyBorder="1" applyAlignment="1">
      <alignment horizontal="left"/>
    </xf>
    <xf numFmtId="1" fontId="102" fillId="0" borderId="10" xfId="0" applyNumberFormat="1" applyFont="1" applyBorder="1" applyAlignment="1">
      <alignment horizontal="left"/>
    </xf>
    <xf numFmtId="2" fontId="102" fillId="0" borderId="11" xfId="44" applyNumberFormat="1" applyFont="1" applyBorder="1" applyAlignment="1">
      <alignment horizontal="left"/>
    </xf>
    <xf numFmtId="2" fontId="102" fillId="0" borderId="12" xfId="44" applyNumberFormat="1" applyFont="1" applyBorder="1" applyAlignment="1">
      <alignment horizontal="left"/>
    </xf>
    <xf numFmtId="2" fontId="102" fillId="0" borderId="10" xfId="44" applyNumberFormat="1" applyFont="1" applyBorder="1" applyAlignment="1">
      <alignment horizontal="left"/>
    </xf>
    <xf numFmtId="2" fontId="102" fillId="0" borderId="11" xfId="0" applyNumberFormat="1" applyFont="1" applyBorder="1" applyAlignment="1">
      <alignment horizontal="left" wrapText="1"/>
    </xf>
    <xf numFmtId="2" fontId="102" fillId="0" borderId="12" xfId="0" applyNumberFormat="1" applyFont="1" applyFill="1" applyBorder="1" applyAlignment="1">
      <alignment horizontal="left"/>
    </xf>
    <xf numFmtId="2" fontId="102" fillId="0" borderId="12" xfId="42" applyNumberFormat="1" applyFont="1" applyBorder="1" applyAlignment="1">
      <alignment horizontal="left"/>
    </xf>
    <xf numFmtId="2" fontId="101" fillId="0" borderId="11" xfId="0" applyNumberFormat="1" applyFont="1" applyBorder="1" applyAlignment="1">
      <alignment horizontal="left"/>
    </xf>
    <xf numFmtId="2" fontId="101" fillId="0" borderId="24" xfId="0" applyNumberFormat="1" applyFont="1" applyBorder="1" applyAlignment="1">
      <alignment horizontal="left"/>
    </xf>
    <xf numFmtId="2" fontId="101" fillId="0" borderId="28" xfId="0" applyNumberFormat="1" applyFont="1" applyBorder="1" applyAlignment="1">
      <alignment horizontal="left"/>
    </xf>
    <xf numFmtId="2" fontId="101" fillId="0" borderId="29" xfId="0" applyNumberFormat="1" applyFont="1" applyBorder="1" applyAlignment="1">
      <alignment horizontal="left"/>
    </xf>
    <xf numFmtId="2" fontId="101" fillId="0" borderId="12" xfId="0" applyNumberFormat="1" applyFont="1" applyBorder="1" applyAlignment="1">
      <alignment horizontal="left"/>
    </xf>
    <xf numFmtId="1" fontId="102" fillId="0" borderId="12" xfId="0" applyNumberFormat="1" applyFont="1" applyBorder="1" applyAlignment="1">
      <alignment horizontal="left" vertical="center"/>
    </xf>
    <xf numFmtId="1" fontId="102" fillId="0" borderId="10" xfId="0" applyNumberFormat="1" applyFont="1" applyBorder="1" applyAlignment="1">
      <alignment horizontal="left" vertical="center"/>
    </xf>
    <xf numFmtId="1" fontId="102" fillId="0" borderId="24" xfId="0" applyNumberFormat="1" applyFont="1" applyBorder="1" applyAlignment="1">
      <alignment horizontal="left"/>
    </xf>
    <xf numFmtId="1" fontId="102" fillId="0" borderId="0" xfId="0" applyNumberFormat="1" applyFont="1" applyBorder="1" applyAlignment="1">
      <alignment horizontal="left"/>
    </xf>
    <xf numFmtId="1" fontId="102" fillId="0" borderId="25" xfId="0" applyNumberFormat="1" applyFont="1" applyBorder="1" applyAlignment="1">
      <alignment horizontal="left"/>
    </xf>
    <xf numFmtId="1" fontId="102" fillId="0" borderId="15" xfId="0" applyNumberFormat="1" applyFont="1" applyBorder="1" applyAlignment="1">
      <alignment horizontal="left"/>
    </xf>
    <xf numFmtId="1" fontId="102" fillId="0" borderId="12" xfId="44" applyNumberFormat="1" applyFont="1" applyBorder="1" applyAlignment="1">
      <alignment horizontal="left"/>
    </xf>
    <xf numFmtId="1" fontId="102" fillId="0" borderId="10" xfId="44" applyNumberFormat="1" applyFont="1" applyBorder="1" applyAlignment="1">
      <alignment horizontal="left"/>
    </xf>
    <xf numFmtId="1" fontId="102" fillId="0" borderId="12" xfId="0" applyNumberFormat="1" applyFont="1" applyFill="1" applyBorder="1" applyAlignment="1">
      <alignment horizontal="left"/>
    </xf>
    <xf numFmtId="1" fontId="102" fillId="0" borderId="11" xfId="42" applyNumberFormat="1" applyFont="1" applyBorder="1" applyAlignment="1">
      <alignment horizontal="left"/>
    </xf>
    <xf numFmtId="1" fontId="102" fillId="0" borderId="12" xfId="42" applyNumberFormat="1" applyFont="1" applyBorder="1" applyAlignment="1">
      <alignment horizontal="left"/>
    </xf>
    <xf numFmtId="1" fontId="102" fillId="0" borderId="10" xfId="42" applyNumberFormat="1" applyFont="1" applyBorder="1" applyAlignment="1">
      <alignment horizontal="left"/>
    </xf>
    <xf numFmtId="1" fontId="101" fillId="0" borderId="11" xfId="0" applyNumberFormat="1" applyFont="1" applyBorder="1" applyAlignment="1">
      <alignment horizontal="left"/>
    </xf>
    <xf numFmtId="1" fontId="101" fillId="0" borderId="27" xfId="0" applyNumberFormat="1" applyFont="1" applyBorder="1" applyAlignment="1">
      <alignment horizontal="left"/>
    </xf>
    <xf numFmtId="0" fontId="103" fillId="0" borderId="27" xfId="0" applyFont="1" applyBorder="1" applyAlignment="1">
      <alignment horizontal="left"/>
    </xf>
    <xf numFmtId="1" fontId="101" fillId="0" borderId="13" xfId="0" applyNumberFormat="1" applyFont="1" applyBorder="1" applyAlignment="1">
      <alignment horizontal="left" vertical="center"/>
    </xf>
    <xf numFmtId="1" fontId="101" fillId="0" borderId="12" xfId="0" applyNumberFormat="1" applyFont="1" applyBorder="1" applyAlignment="1">
      <alignment horizontal="left"/>
    </xf>
    <xf numFmtId="1" fontId="101" fillId="0" borderId="10" xfId="0" applyNumberFormat="1" applyFont="1" applyBorder="1" applyAlignment="1">
      <alignment horizontal="left"/>
    </xf>
    <xf numFmtId="1" fontId="101" fillId="0" borderId="24" xfId="0" applyNumberFormat="1" applyFont="1" applyBorder="1" applyAlignment="1">
      <alignment horizontal="left"/>
    </xf>
    <xf numFmtId="1" fontId="97" fillId="0" borderId="0" xfId="0" applyNumberFormat="1" applyFont="1" applyAlignment="1">
      <alignment horizontal="left"/>
    </xf>
    <xf numFmtId="2" fontId="102" fillId="0" borderId="11" xfId="0" applyNumberFormat="1" applyFont="1" applyBorder="1" applyAlignment="1">
      <alignment horizontal="left" vertical="center"/>
    </xf>
    <xf numFmtId="2" fontId="102" fillId="0" borderId="13" xfId="0" applyNumberFormat="1" applyFont="1" applyBorder="1" applyAlignment="1">
      <alignment horizontal="left"/>
    </xf>
    <xf numFmtId="1" fontId="102" fillId="0" borderId="13" xfId="0" applyNumberFormat="1" applyFont="1" applyBorder="1" applyAlignment="1">
      <alignment horizontal="left"/>
    </xf>
    <xf numFmtId="0" fontId="102" fillId="0" borderId="24" xfId="0" applyFont="1" applyBorder="1" applyAlignment="1">
      <alignment horizontal="left"/>
    </xf>
    <xf numFmtId="1" fontId="101" fillId="0" borderId="13" xfId="0" applyNumberFormat="1" applyFont="1" applyBorder="1" applyAlignment="1">
      <alignment horizontal="left"/>
    </xf>
    <xf numFmtId="1" fontId="101" fillId="0" borderId="28" xfId="0" applyNumberFormat="1" applyFont="1" applyBorder="1" applyAlignment="1">
      <alignment horizontal="left"/>
    </xf>
    <xf numFmtId="1" fontId="101" fillId="0" borderId="29" xfId="0" applyNumberFormat="1" applyFont="1" applyBorder="1" applyAlignment="1">
      <alignment horizontal="left"/>
    </xf>
    <xf numFmtId="0" fontId="102" fillId="0" borderId="15" xfId="0" applyFont="1" applyBorder="1" applyAlignment="1">
      <alignment horizontal="left"/>
    </xf>
    <xf numFmtId="0" fontId="102" fillId="0" borderId="0" xfId="0" applyFont="1" applyBorder="1" applyAlignment="1">
      <alignment horizontal="left"/>
    </xf>
    <xf numFmtId="2" fontId="101" fillId="0" borderId="11" xfId="0" applyNumberFormat="1" applyFont="1" applyBorder="1" applyAlignment="1">
      <alignment horizontal="left" vertical="center"/>
    </xf>
    <xf numFmtId="2" fontId="101" fillId="0" borderId="12" xfId="0" applyNumberFormat="1" applyFont="1" applyBorder="1" applyAlignment="1">
      <alignment horizontal="left" vertical="center"/>
    </xf>
    <xf numFmtId="2" fontId="101" fillId="0" borderId="13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102" fillId="0" borderId="30" xfId="0" applyNumberFormat="1" applyFont="1" applyBorder="1" applyAlignment="1">
      <alignment horizontal="left" vertical="center"/>
    </xf>
    <xf numFmtId="2" fontId="102" fillId="0" borderId="31" xfId="0" applyNumberFormat="1" applyFont="1" applyBorder="1" applyAlignment="1">
      <alignment horizontal="left" vertical="center"/>
    </xf>
    <xf numFmtId="2" fontId="102" fillId="0" borderId="32" xfId="0" applyNumberFormat="1" applyFont="1" applyBorder="1" applyAlignment="1">
      <alignment horizontal="left"/>
    </xf>
    <xf numFmtId="2" fontId="102" fillId="0" borderId="31" xfId="0" applyNumberFormat="1" applyFont="1" applyBorder="1" applyAlignment="1">
      <alignment horizontal="left"/>
    </xf>
    <xf numFmtId="1" fontId="102" fillId="0" borderId="33" xfId="0" applyNumberFormat="1" applyFont="1" applyBorder="1" applyAlignment="1">
      <alignment horizontal="left"/>
    </xf>
    <xf numFmtId="1" fontId="102" fillId="0" borderId="32" xfId="0" applyNumberFormat="1" applyFont="1" applyBorder="1" applyAlignment="1">
      <alignment horizontal="left"/>
    </xf>
    <xf numFmtId="1" fontId="102" fillId="0" borderId="31" xfId="0" applyNumberFormat="1" applyFont="1" applyBorder="1" applyAlignment="1">
      <alignment horizontal="left"/>
    </xf>
    <xf numFmtId="2" fontId="102" fillId="0" borderId="33" xfId="0" applyNumberFormat="1" applyFont="1" applyBorder="1" applyAlignment="1">
      <alignment horizontal="left"/>
    </xf>
    <xf numFmtId="2" fontId="102" fillId="0" borderId="30" xfId="0" applyNumberFormat="1" applyFont="1" applyBorder="1" applyAlignment="1">
      <alignment horizontal="left"/>
    </xf>
    <xf numFmtId="1" fontId="102" fillId="0" borderId="30" xfId="0" applyNumberFormat="1" applyFont="1" applyBorder="1" applyAlignment="1">
      <alignment horizontal="left"/>
    </xf>
    <xf numFmtId="1" fontId="102" fillId="0" borderId="34" xfId="0" applyNumberFormat="1" applyFont="1" applyBorder="1" applyAlignment="1">
      <alignment horizontal="left"/>
    </xf>
    <xf numFmtId="2" fontId="102" fillId="0" borderId="30" xfId="44" applyNumberFormat="1" applyFont="1" applyBorder="1" applyAlignment="1">
      <alignment horizontal="left"/>
    </xf>
    <xf numFmtId="2" fontId="102" fillId="0" borderId="31" xfId="44" applyNumberFormat="1" applyFont="1" applyBorder="1" applyAlignment="1">
      <alignment horizontal="left"/>
    </xf>
    <xf numFmtId="2" fontId="102" fillId="0" borderId="30" xfId="0" applyNumberFormat="1" applyFont="1" applyBorder="1" applyAlignment="1">
      <alignment horizontal="left" wrapText="1"/>
    </xf>
    <xf numFmtId="1" fontId="102" fillId="0" borderId="31" xfId="0" applyNumberFormat="1" applyFont="1" applyFill="1" applyBorder="1" applyAlignment="1">
      <alignment horizontal="left"/>
    </xf>
    <xf numFmtId="1" fontId="102" fillId="0" borderId="34" xfId="0" applyNumberFormat="1" applyFont="1" applyFill="1" applyBorder="1" applyAlignment="1">
      <alignment horizontal="left"/>
    </xf>
    <xf numFmtId="1" fontId="102" fillId="0" borderId="30" xfId="42" applyNumberFormat="1" applyFont="1" applyBorder="1" applyAlignment="1">
      <alignment horizontal="left"/>
    </xf>
    <xf numFmtId="1" fontId="102" fillId="0" borderId="31" xfId="42" applyNumberFormat="1" applyFont="1" applyBorder="1" applyAlignment="1">
      <alignment horizontal="left"/>
    </xf>
    <xf numFmtId="1" fontId="102" fillId="0" borderId="34" xfId="42" applyNumberFormat="1" applyFont="1" applyBorder="1" applyAlignment="1">
      <alignment horizontal="left"/>
    </xf>
    <xf numFmtId="1" fontId="101" fillId="0" borderId="30" xfId="0" applyNumberFormat="1" applyFont="1" applyBorder="1" applyAlignment="1">
      <alignment horizontal="left"/>
    </xf>
    <xf numFmtId="1" fontId="101" fillId="0" borderId="32" xfId="0" applyNumberFormat="1" applyFont="1" applyBorder="1" applyAlignment="1">
      <alignment horizontal="left"/>
    </xf>
    <xf numFmtId="1" fontId="101" fillId="0" borderId="35" xfId="0" applyNumberFormat="1" applyFont="1" applyBorder="1" applyAlignment="1">
      <alignment horizontal="left"/>
    </xf>
    <xf numFmtId="1" fontId="101" fillId="0" borderId="36" xfId="0" applyNumberFormat="1" applyFont="1" applyBorder="1" applyAlignment="1">
      <alignment horizontal="left"/>
    </xf>
    <xf numFmtId="0" fontId="102" fillId="0" borderId="37" xfId="0" applyFont="1" applyBorder="1" applyAlignment="1">
      <alignment horizontal="left"/>
    </xf>
    <xf numFmtId="0" fontId="102" fillId="0" borderId="38" xfId="0" applyFont="1" applyBorder="1" applyAlignment="1">
      <alignment horizontal="left"/>
    </xf>
    <xf numFmtId="0" fontId="102" fillId="0" borderId="39" xfId="0" applyFont="1" applyBorder="1" applyAlignment="1">
      <alignment horizontal="left"/>
    </xf>
    <xf numFmtId="1" fontId="102" fillId="0" borderId="39" xfId="0" applyNumberFormat="1" applyFont="1" applyBorder="1" applyAlignment="1">
      <alignment horizontal="left"/>
    </xf>
    <xf numFmtId="1" fontId="102" fillId="0" borderId="38" xfId="0" applyNumberFormat="1" applyFont="1" applyBorder="1" applyAlignment="1">
      <alignment horizontal="left"/>
    </xf>
    <xf numFmtId="1" fontId="102" fillId="0" borderId="37" xfId="0" applyNumberFormat="1" applyFont="1" applyBorder="1" applyAlignment="1">
      <alignment horizontal="left"/>
    </xf>
    <xf numFmtId="1" fontId="101" fillId="0" borderId="40" xfId="0" applyNumberFormat="1" applyFont="1" applyBorder="1" applyAlignment="1">
      <alignment horizontal="left"/>
    </xf>
    <xf numFmtId="1" fontId="101" fillId="0" borderId="41" xfId="0" applyNumberFormat="1" applyFont="1" applyBorder="1" applyAlignment="1">
      <alignment horizontal="left"/>
    </xf>
    <xf numFmtId="1" fontId="101" fillId="0" borderId="39" xfId="0" applyNumberFormat="1" applyFont="1" applyBorder="1" applyAlignment="1">
      <alignment horizontal="left"/>
    </xf>
    <xf numFmtId="0" fontId="102" fillId="0" borderId="25" xfId="0" applyFont="1" applyBorder="1" applyAlignment="1">
      <alignment horizontal="left"/>
    </xf>
    <xf numFmtId="1" fontId="102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103" fillId="0" borderId="42" xfId="0" applyFont="1" applyBorder="1" applyAlignment="1">
      <alignment horizontal="left"/>
    </xf>
    <xf numFmtId="0" fontId="89" fillId="0" borderId="0" xfId="0" applyFont="1" applyAlignment="1">
      <alignment/>
    </xf>
    <xf numFmtId="0" fontId="103" fillId="0" borderId="43" xfId="0" applyFont="1" applyBorder="1" applyAlignment="1">
      <alignment horizontal="left"/>
    </xf>
    <xf numFmtId="0" fontId="101" fillId="0" borderId="16" xfId="0" applyFont="1" applyBorder="1" applyAlignment="1">
      <alignment horizontal="left" vertical="center"/>
    </xf>
    <xf numFmtId="0" fontId="101" fillId="0" borderId="14" xfId="0" applyFont="1" applyBorder="1" applyAlignment="1">
      <alignment horizontal="left" vertical="center"/>
    </xf>
    <xf numFmtId="0" fontId="101" fillId="0" borderId="18" xfId="0" applyFont="1" applyBorder="1" applyAlignment="1">
      <alignment horizontal="left" vertical="center"/>
    </xf>
    <xf numFmtId="0" fontId="101" fillId="0" borderId="17" xfId="0" applyFont="1" applyBorder="1" applyAlignment="1">
      <alignment horizontal="left" vertical="center"/>
    </xf>
    <xf numFmtId="1" fontId="101" fillId="0" borderId="18" xfId="0" applyNumberFormat="1" applyFont="1" applyBorder="1" applyAlignment="1">
      <alignment horizontal="left" vertical="center"/>
    </xf>
    <xf numFmtId="1" fontId="101" fillId="0" borderId="17" xfId="0" applyNumberFormat="1" applyFont="1" applyBorder="1" applyAlignment="1">
      <alignment horizontal="left" vertical="center"/>
    </xf>
    <xf numFmtId="1" fontId="101" fillId="0" borderId="14" xfId="0" applyNumberFormat="1" applyFont="1" applyBorder="1" applyAlignment="1">
      <alignment horizontal="left" vertical="center"/>
    </xf>
    <xf numFmtId="0" fontId="101" fillId="0" borderId="44" xfId="0" applyFont="1" applyBorder="1" applyAlignment="1">
      <alignment horizontal="left" vertical="center"/>
    </xf>
    <xf numFmtId="1" fontId="101" fillId="0" borderId="16" xfId="0" applyNumberFormat="1" applyFont="1" applyBorder="1" applyAlignment="1">
      <alignment horizontal="left" vertical="center"/>
    </xf>
    <xf numFmtId="1" fontId="101" fillId="0" borderId="44" xfId="0" applyNumberFormat="1" applyFont="1" applyBorder="1" applyAlignment="1">
      <alignment horizontal="left" vertical="center"/>
    </xf>
    <xf numFmtId="1" fontId="102" fillId="0" borderId="14" xfId="0" applyNumberFormat="1" applyFont="1" applyBorder="1" applyAlignment="1">
      <alignment horizontal="left"/>
    </xf>
    <xf numFmtId="1" fontId="102" fillId="0" borderId="18" xfId="0" applyNumberFormat="1" applyFont="1" applyBorder="1" applyAlignment="1">
      <alignment horizontal="left"/>
    </xf>
    <xf numFmtId="1" fontId="102" fillId="0" borderId="0" xfId="0" applyNumberFormat="1" applyFont="1" applyAlignment="1">
      <alignment/>
    </xf>
    <xf numFmtId="1" fontId="94" fillId="0" borderId="24" xfId="0" applyNumberFormat="1" applyFont="1" applyBorder="1" applyAlignment="1">
      <alignment horizontal="left"/>
    </xf>
    <xf numFmtId="1" fontId="103" fillId="0" borderId="24" xfId="0" applyNumberFormat="1" applyFont="1" applyBorder="1" applyAlignment="1">
      <alignment horizontal="left"/>
    </xf>
    <xf numFmtId="1" fontId="94" fillId="0" borderId="45" xfId="0" applyNumberFormat="1" applyFont="1" applyBorder="1" applyAlignment="1">
      <alignment horizontal="left"/>
    </xf>
    <xf numFmtId="1" fontId="98" fillId="0" borderId="11" xfId="0" applyNumberFormat="1" applyFont="1" applyBorder="1" applyAlignment="1">
      <alignment horizontal="left" vertical="center"/>
    </xf>
    <xf numFmtId="1" fontId="98" fillId="0" borderId="12" xfId="0" applyNumberFormat="1" applyFont="1" applyBorder="1" applyAlignment="1">
      <alignment horizontal="left" vertical="center"/>
    </xf>
    <xf numFmtId="1" fontId="98" fillId="0" borderId="10" xfId="0" applyNumberFormat="1" applyFont="1" applyBorder="1" applyAlignment="1">
      <alignment horizontal="left" vertical="center"/>
    </xf>
    <xf numFmtId="1" fontId="98" fillId="0" borderId="13" xfId="0" applyNumberFormat="1" applyFont="1" applyBorder="1" applyAlignment="1">
      <alignment horizontal="left"/>
    </xf>
    <xf numFmtId="1" fontId="98" fillId="0" borderId="12" xfId="0" applyNumberFormat="1" applyFont="1" applyBorder="1" applyAlignment="1">
      <alignment horizontal="left"/>
    </xf>
    <xf numFmtId="1" fontId="98" fillId="0" borderId="10" xfId="0" applyNumberFormat="1" applyFont="1" applyBorder="1" applyAlignment="1">
      <alignment horizontal="left"/>
    </xf>
    <xf numFmtId="1" fontId="98" fillId="0" borderId="12" xfId="44" applyNumberFormat="1" applyFont="1" applyBorder="1" applyAlignment="1">
      <alignment horizontal="left"/>
    </xf>
    <xf numFmtId="1" fontId="98" fillId="0" borderId="13" xfId="0" applyNumberFormat="1" applyFont="1" applyBorder="1" applyAlignment="1">
      <alignment horizontal="left" wrapText="1"/>
    </xf>
    <xf numFmtId="1" fontId="103" fillId="0" borderId="12" xfId="0" applyNumberFormat="1" applyFont="1" applyBorder="1" applyAlignment="1">
      <alignment horizontal="left"/>
    </xf>
    <xf numFmtId="1" fontId="98" fillId="0" borderId="12" xfId="0" applyNumberFormat="1" applyFont="1" applyFill="1" applyBorder="1" applyAlignment="1">
      <alignment horizontal="left"/>
    </xf>
    <xf numFmtId="1" fontId="98" fillId="0" borderId="10" xfId="0" applyNumberFormat="1" applyFont="1" applyFill="1" applyBorder="1" applyAlignment="1">
      <alignment horizontal="left"/>
    </xf>
    <xf numFmtId="1" fontId="98" fillId="0" borderId="11" xfId="42" applyNumberFormat="1" applyFont="1" applyBorder="1" applyAlignment="1">
      <alignment horizontal="left"/>
    </xf>
    <xf numFmtId="1" fontId="98" fillId="0" borderId="12" xfId="42" applyNumberFormat="1" applyFont="1" applyBorder="1" applyAlignment="1">
      <alignment horizontal="left"/>
    </xf>
    <xf numFmtId="1" fontId="98" fillId="0" borderId="10" xfId="42" applyNumberFormat="1" applyFont="1" applyBorder="1" applyAlignment="1">
      <alignment horizontal="left"/>
    </xf>
    <xf numFmtId="1" fontId="98" fillId="0" borderId="11" xfId="0" applyNumberFormat="1" applyFont="1" applyBorder="1" applyAlignment="1">
      <alignment horizontal="left"/>
    </xf>
    <xf numFmtId="1" fontId="99" fillId="0" borderId="11" xfId="0" applyNumberFormat="1" applyFont="1" applyBorder="1" applyAlignment="1">
      <alignment horizontal="left" vertical="center"/>
    </xf>
    <xf numFmtId="1" fontId="97" fillId="0" borderId="0" xfId="0" applyNumberFormat="1" applyFont="1" applyBorder="1" applyAlignment="1">
      <alignment horizontal="left"/>
    </xf>
    <xf numFmtId="1" fontId="99" fillId="0" borderId="12" xfId="0" applyNumberFormat="1" applyFont="1" applyBorder="1" applyAlignment="1">
      <alignment horizontal="left" vertical="center"/>
    </xf>
    <xf numFmtId="1" fontId="99" fillId="0" borderId="10" xfId="0" applyNumberFormat="1" applyFont="1" applyBorder="1" applyAlignment="1">
      <alignment horizontal="left" vertical="center"/>
    </xf>
    <xf numFmtId="1" fontId="99" fillId="0" borderId="13" xfId="0" applyNumberFormat="1" applyFont="1" applyBorder="1" applyAlignment="1">
      <alignment horizontal="left"/>
    </xf>
    <xf numFmtId="1" fontId="99" fillId="0" borderId="12" xfId="0" applyNumberFormat="1" applyFont="1" applyBorder="1" applyAlignment="1">
      <alignment horizontal="left"/>
    </xf>
    <xf numFmtId="1" fontId="99" fillId="0" borderId="10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1" fontId="99" fillId="0" borderId="11" xfId="0" applyNumberFormat="1" applyFont="1" applyBorder="1" applyAlignment="1">
      <alignment horizontal="left"/>
    </xf>
    <xf numFmtId="1" fontId="97" fillId="0" borderId="13" xfId="0" applyNumberFormat="1" applyFont="1" applyBorder="1" applyAlignment="1">
      <alignment horizontal="left"/>
    </xf>
    <xf numFmtId="1" fontId="97" fillId="0" borderId="12" xfId="0" applyNumberFormat="1" applyFont="1" applyBorder="1" applyAlignment="1">
      <alignment horizontal="left"/>
    </xf>
    <xf numFmtId="1" fontId="97" fillId="0" borderId="10" xfId="0" applyNumberFormat="1" applyFont="1" applyBorder="1" applyAlignment="1">
      <alignment horizontal="left"/>
    </xf>
    <xf numFmtId="1" fontId="94" fillId="0" borderId="46" xfId="0" applyNumberFormat="1" applyFont="1" applyBorder="1" applyAlignment="1">
      <alignment horizontal="left"/>
    </xf>
    <xf numFmtId="1" fontId="98" fillId="0" borderId="31" xfId="44" applyNumberFormat="1" applyFont="1" applyBorder="1" applyAlignment="1">
      <alignment horizontal="left"/>
    </xf>
    <xf numFmtId="1" fontId="98" fillId="0" borderId="32" xfId="0" applyNumberFormat="1" applyFont="1" applyBorder="1" applyAlignment="1">
      <alignment horizontal="left" wrapText="1"/>
    </xf>
    <xf numFmtId="1" fontId="98" fillId="0" borderId="31" xfId="0" applyNumberFormat="1" applyFont="1" applyBorder="1" applyAlignment="1">
      <alignment horizontal="left"/>
    </xf>
    <xf numFmtId="1" fontId="98" fillId="0" borderId="33" xfId="0" applyNumberFormat="1" applyFont="1" applyBorder="1" applyAlignment="1">
      <alignment horizontal="left"/>
    </xf>
    <xf numFmtId="1" fontId="98" fillId="0" borderId="31" xfId="0" applyNumberFormat="1" applyFont="1" applyFill="1" applyBorder="1" applyAlignment="1">
      <alignment horizontal="left"/>
    </xf>
    <xf numFmtId="1" fontId="98" fillId="0" borderId="30" xfId="0" applyNumberFormat="1" applyFont="1" applyBorder="1" applyAlignment="1">
      <alignment horizontal="left" vertical="center"/>
    </xf>
    <xf numFmtId="1" fontId="98" fillId="0" borderId="31" xfId="0" applyNumberFormat="1" applyFont="1" applyBorder="1" applyAlignment="1">
      <alignment horizontal="left" vertical="center"/>
    </xf>
    <xf numFmtId="1" fontId="98" fillId="0" borderId="32" xfId="0" applyNumberFormat="1" applyFont="1" applyBorder="1" applyAlignment="1">
      <alignment horizontal="left"/>
    </xf>
    <xf numFmtId="1" fontId="95" fillId="0" borderId="26" xfId="0" applyNumberFormat="1" applyFont="1" applyBorder="1" applyAlignment="1">
      <alignment horizontal="left"/>
    </xf>
    <xf numFmtId="1" fontId="95" fillId="0" borderId="18" xfId="0" applyNumberFormat="1" applyFont="1" applyBorder="1" applyAlignment="1">
      <alignment horizontal="left"/>
    </xf>
    <xf numFmtId="1" fontId="91" fillId="0" borderId="18" xfId="0" applyNumberFormat="1" applyFont="1" applyBorder="1" applyAlignment="1">
      <alignment horizontal="left"/>
    </xf>
    <xf numFmtId="1" fontId="92" fillId="0" borderId="13" xfId="0" applyNumberFormat="1" applyFont="1" applyBorder="1" applyAlignment="1">
      <alignment horizontal="left" wrapText="1"/>
    </xf>
    <xf numFmtId="1" fontId="95" fillId="0" borderId="10" xfId="0" applyNumberFormat="1" applyFont="1" applyBorder="1" applyAlignment="1">
      <alignment horizontal="left"/>
    </xf>
    <xf numFmtId="1" fontId="97" fillId="0" borderId="0" xfId="0" applyNumberFormat="1" applyFont="1" applyAlignment="1">
      <alignment/>
    </xf>
    <xf numFmtId="1" fontId="95" fillId="0" borderId="16" xfId="0" applyNumberFormat="1" applyFont="1" applyBorder="1" applyAlignment="1">
      <alignment horizontal="left"/>
    </xf>
    <xf numFmtId="1" fontId="95" fillId="0" borderId="14" xfId="0" applyNumberFormat="1" applyFont="1" applyBorder="1" applyAlignment="1">
      <alignment horizontal="left"/>
    </xf>
    <xf numFmtId="1" fontId="95" fillId="0" borderId="11" xfId="0" applyNumberFormat="1" applyFont="1" applyBorder="1" applyAlignment="1">
      <alignment horizontal="left"/>
    </xf>
    <xf numFmtId="1" fontId="95" fillId="0" borderId="12" xfId="0" applyNumberFormat="1" applyFont="1" applyBorder="1" applyAlignment="1">
      <alignment horizontal="left"/>
    </xf>
    <xf numFmtId="1" fontId="95" fillId="0" borderId="23" xfId="0" applyNumberFormat="1" applyFont="1" applyBorder="1" applyAlignment="1">
      <alignment horizontal="left"/>
    </xf>
    <xf numFmtId="1" fontId="95" fillId="0" borderId="21" xfId="0" applyNumberFormat="1" applyFont="1" applyBorder="1" applyAlignment="1">
      <alignment horizontal="left"/>
    </xf>
    <xf numFmtId="1" fontId="95" fillId="0" borderId="22" xfId="0" applyNumberFormat="1" applyFont="1" applyBorder="1" applyAlignment="1">
      <alignment horizontal="left"/>
    </xf>
    <xf numFmtId="1" fontId="92" fillId="0" borderId="24" xfId="0" applyNumberFormat="1" applyFont="1" applyBorder="1" applyAlignment="1">
      <alignment horizontal="left" vertical="center"/>
    </xf>
    <xf numFmtId="1" fontId="92" fillId="0" borderId="28" xfId="0" applyNumberFormat="1" applyFont="1" applyBorder="1" applyAlignment="1">
      <alignment horizontal="left" vertical="center"/>
    </xf>
    <xf numFmtId="1" fontId="92" fillId="0" borderId="11" xfId="42" applyNumberFormat="1" applyFont="1" applyBorder="1" applyAlignment="1">
      <alignment horizontal="left"/>
    </xf>
    <xf numFmtId="1" fontId="6" fillId="0" borderId="12" xfId="44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1" fontId="6" fillId="0" borderId="12" xfId="0" applyNumberFormat="1" applyFont="1" applyFill="1" applyBorder="1" applyAlignment="1">
      <alignment horizontal="left"/>
    </xf>
    <xf numFmtId="1" fontId="6" fillId="0" borderId="12" xfId="42" applyNumberFormat="1" applyFont="1" applyBorder="1" applyAlignment="1">
      <alignment horizontal="left"/>
    </xf>
    <xf numFmtId="2" fontId="92" fillId="0" borderId="24" xfId="0" applyNumberFormat="1" applyFont="1" applyBorder="1" applyAlignment="1">
      <alignment horizontal="left"/>
    </xf>
    <xf numFmtId="2" fontId="92" fillId="0" borderId="11" xfId="44" applyNumberFormat="1" applyFont="1" applyBorder="1" applyAlignment="1">
      <alignment horizontal="left"/>
    </xf>
    <xf numFmtId="2" fontId="92" fillId="0" borderId="12" xfId="42" applyNumberFormat="1" applyFont="1" applyBorder="1" applyAlignment="1">
      <alignment horizontal="left"/>
    </xf>
    <xf numFmtId="2" fontId="92" fillId="0" borderId="28" xfId="0" applyNumberFormat="1" applyFont="1" applyBorder="1" applyAlignment="1">
      <alignment horizontal="left" vertical="center"/>
    </xf>
    <xf numFmtId="165" fontId="92" fillId="0" borderId="12" xfId="44" applyNumberFormat="1" applyFont="1" applyBorder="1" applyAlignment="1">
      <alignment horizontal="left"/>
    </xf>
    <xf numFmtId="1" fontId="92" fillId="0" borderId="0" xfId="0" applyNumberFormat="1" applyFont="1" applyFill="1" applyAlignment="1">
      <alignment horizontal="left"/>
    </xf>
    <xf numFmtId="1" fontId="92" fillId="0" borderId="0" xfId="0" applyNumberFormat="1" applyFont="1" applyAlignment="1">
      <alignment/>
    </xf>
    <xf numFmtId="1" fontId="92" fillId="0" borderId="21" xfId="0" applyNumberFormat="1" applyFont="1" applyBorder="1" applyAlignment="1">
      <alignment horizontal="left"/>
    </xf>
    <xf numFmtId="1" fontId="92" fillId="0" borderId="22" xfId="0" applyNumberFormat="1" applyFont="1" applyBorder="1" applyAlignment="1">
      <alignment horizontal="left"/>
    </xf>
    <xf numFmtId="0" fontId="101" fillId="0" borderId="47" xfId="0" applyFont="1" applyBorder="1" applyAlignment="1">
      <alignment horizontal="left" vertical="center"/>
    </xf>
    <xf numFmtId="0" fontId="101" fillId="0" borderId="48" xfId="0" applyFont="1" applyBorder="1" applyAlignment="1">
      <alignment horizontal="left" vertical="center"/>
    </xf>
    <xf numFmtId="0" fontId="101" fillId="0" borderId="49" xfId="0" applyFont="1" applyBorder="1" applyAlignment="1">
      <alignment horizontal="left" vertical="center"/>
    </xf>
    <xf numFmtId="1" fontId="102" fillId="0" borderId="13" xfId="0" applyNumberFormat="1" applyFont="1" applyFill="1" applyBorder="1" applyAlignment="1">
      <alignment horizontal="left"/>
    </xf>
    <xf numFmtId="1" fontId="102" fillId="0" borderId="32" xfId="0" applyNumberFormat="1" applyFont="1" applyFill="1" applyBorder="1" applyAlignment="1">
      <alignment horizontal="left"/>
    </xf>
    <xf numFmtId="1" fontId="94" fillId="0" borderId="12" xfId="0" applyNumberFormat="1" applyFont="1" applyBorder="1" applyAlignment="1">
      <alignment horizontal="left"/>
    </xf>
    <xf numFmtId="0" fontId="101" fillId="0" borderId="50" xfId="0" applyFont="1" applyBorder="1" applyAlignment="1">
      <alignment horizontal="left" vertical="center"/>
    </xf>
    <xf numFmtId="0" fontId="101" fillId="0" borderId="51" xfId="0" applyFont="1" applyBorder="1" applyAlignment="1">
      <alignment horizontal="left" vertical="center"/>
    </xf>
    <xf numFmtId="1" fontId="94" fillId="0" borderId="47" xfId="0" applyNumberFormat="1" applyFont="1" applyBorder="1" applyAlignment="1">
      <alignment horizontal="left"/>
    </xf>
    <xf numFmtId="1" fontId="94" fillId="0" borderId="48" xfId="0" applyNumberFormat="1" applyFont="1" applyBorder="1" applyAlignment="1">
      <alignment horizontal="left"/>
    </xf>
    <xf numFmtId="1" fontId="94" fillId="0" borderId="49" xfId="0" applyNumberFormat="1" applyFont="1" applyBorder="1" applyAlignment="1">
      <alignment horizontal="left"/>
    </xf>
    <xf numFmtId="1" fontId="94" fillId="0" borderId="11" xfId="0" applyNumberFormat="1" applyFont="1" applyBorder="1" applyAlignment="1">
      <alignment horizontal="left"/>
    </xf>
    <xf numFmtId="1" fontId="94" fillId="0" borderId="10" xfId="0" applyNumberFormat="1" applyFont="1" applyBorder="1" applyAlignment="1">
      <alignment horizontal="left"/>
    </xf>
    <xf numFmtId="1" fontId="102" fillId="0" borderId="23" xfId="0" applyNumberFormat="1" applyFont="1" applyBorder="1" applyAlignment="1">
      <alignment horizontal="left"/>
    </xf>
    <xf numFmtId="1" fontId="102" fillId="0" borderId="21" xfId="0" applyNumberFormat="1" applyFont="1" applyBorder="1" applyAlignment="1">
      <alignment horizontal="left"/>
    </xf>
    <xf numFmtId="1" fontId="102" fillId="0" borderId="22" xfId="0" applyNumberFormat="1" applyFont="1" applyBorder="1" applyAlignment="1">
      <alignment horizontal="left"/>
    </xf>
    <xf numFmtId="0" fontId="102" fillId="0" borderId="40" xfId="0" applyFont="1" applyBorder="1" applyAlignment="1">
      <alignment horizontal="left"/>
    </xf>
    <xf numFmtId="0" fontId="102" fillId="0" borderId="52" xfId="0" applyFont="1" applyBorder="1" applyAlignment="1">
      <alignment horizontal="left"/>
    </xf>
    <xf numFmtId="0" fontId="102" fillId="0" borderId="53" xfId="0" applyFont="1" applyBorder="1" applyAlignment="1">
      <alignment horizontal="left"/>
    </xf>
    <xf numFmtId="2" fontId="92" fillId="0" borderId="13" xfId="0" applyNumberFormat="1" applyFont="1" applyBorder="1" applyAlignment="1">
      <alignment horizontal="left" vertical="center"/>
    </xf>
    <xf numFmtId="0" fontId="94" fillId="0" borderId="54" xfId="0" applyFont="1" applyBorder="1" applyAlignment="1">
      <alignment horizontal="left"/>
    </xf>
    <xf numFmtId="2" fontId="99" fillId="0" borderId="27" xfId="0" applyNumberFormat="1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2" fontId="98" fillId="0" borderId="30" xfId="0" applyNumberFormat="1" applyFont="1" applyBorder="1" applyAlignment="1">
      <alignment horizontal="left"/>
    </xf>
    <xf numFmtId="2" fontId="98" fillId="0" borderId="31" xfId="0" applyNumberFormat="1" applyFont="1" applyBorder="1" applyAlignment="1">
      <alignment horizontal="left"/>
    </xf>
    <xf numFmtId="2" fontId="98" fillId="0" borderId="34" xfId="0" applyNumberFormat="1" applyFont="1" applyBorder="1" applyAlignment="1">
      <alignment horizontal="left"/>
    </xf>
    <xf numFmtId="2" fontId="98" fillId="0" borderId="33" xfId="0" applyNumberFormat="1" applyFont="1" applyBorder="1" applyAlignment="1">
      <alignment horizontal="left"/>
    </xf>
    <xf numFmtId="2" fontId="98" fillId="0" borderId="32" xfId="0" applyNumberFormat="1" applyFont="1" applyBorder="1" applyAlignment="1">
      <alignment horizontal="left"/>
    </xf>
    <xf numFmtId="2" fontId="98" fillId="0" borderId="30" xfId="0" applyNumberFormat="1" applyFont="1" applyFill="1" applyBorder="1" applyAlignment="1">
      <alignment horizontal="left"/>
    </xf>
    <xf numFmtId="2" fontId="98" fillId="0" borderId="31" xfId="0" applyNumberFormat="1" applyFont="1" applyFill="1" applyBorder="1" applyAlignment="1">
      <alignment horizontal="left"/>
    </xf>
    <xf numFmtId="2" fontId="98" fillId="0" borderId="31" xfId="42" applyNumberFormat="1" applyFont="1" applyBorder="1" applyAlignment="1">
      <alignment horizontal="left"/>
    </xf>
    <xf numFmtId="2" fontId="98" fillId="0" borderId="33" xfId="42" applyNumberFormat="1" applyFont="1" applyBorder="1" applyAlignment="1">
      <alignment horizontal="left"/>
    </xf>
    <xf numFmtId="2" fontId="98" fillId="0" borderId="30" xfId="42" applyNumberFormat="1" applyFont="1" applyBorder="1" applyAlignment="1">
      <alignment horizontal="left"/>
    </xf>
    <xf numFmtId="2" fontId="99" fillId="0" borderId="30" xfId="0" applyNumberFormat="1" applyFont="1" applyBorder="1" applyAlignment="1">
      <alignment horizontal="left"/>
    </xf>
    <xf numFmtId="2" fontId="99" fillId="0" borderId="42" xfId="0" applyNumberFormat="1" applyFont="1" applyBorder="1" applyAlignment="1">
      <alignment horizontal="left"/>
    </xf>
    <xf numFmtId="2" fontId="98" fillId="0" borderId="55" xfId="0" applyNumberFormat="1" applyFont="1" applyBorder="1" applyAlignment="1">
      <alignment horizontal="left"/>
    </xf>
    <xf numFmtId="2" fontId="98" fillId="0" borderId="56" xfId="0" applyNumberFormat="1" applyFont="1" applyBorder="1" applyAlignment="1">
      <alignment horizontal="left"/>
    </xf>
    <xf numFmtId="2" fontId="98" fillId="0" borderId="57" xfId="0" applyNumberFormat="1" applyFont="1" applyBorder="1" applyAlignment="1">
      <alignment horizontal="left"/>
    </xf>
    <xf numFmtId="2" fontId="98" fillId="0" borderId="58" xfId="0" applyNumberFormat="1" applyFont="1" applyBorder="1" applyAlignment="1">
      <alignment horizontal="left"/>
    </xf>
    <xf numFmtId="2" fontId="98" fillId="0" borderId="59" xfId="0" applyNumberFormat="1" applyFont="1" applyBorder="1" applyAlignment="1">
      <alignment horizontal="left"/>
    </xf>
    <xf numFmtId="2" fontId="98" fillId="0" borderId="55" xfId="0" applyNumberFormat="1" applyFont="1" applyFill="1" applyBorder="1" applyAlignment="1">
      <alignment horizontal="left"/>
    </xf>
    <xf numFmtId="2" fontId="98" fillId="0" borderId="56" xfId="0" applyNumberFormat="1" applyFont="1" applyFill="1" applyBorder="1" applyAlignment="1">
      <alignment horizontal="left"/>
    </xf>
    <xf numFmtId="2" fontId="98" fillId="0" borderId="56" xfId="42" applyNumberFormat="1" applyFont="1" applyBorder="1" applyAlignment="1">
      <alignment horizontal="left"/>
    </xf>
    <xf numFmtId="2" fontId="98" fillId="0" borderId="58" xfId="42" applyNumberFormat="1" applyFont="1" applyBorder="1" applyAlignment="1">
      <alignment horizontal="left"/>
    </xf>
    <xf numFmtId="2" fontId="99" fillId="0" borderId="59" xfId="0" applyNumberFormat="1" applyFont="1" applyBorder="1" applyAlignment="1">
      <alignment horizontal="left"/>
    </xf>
    <xf numFmtId="2" fontId="98" fillId="0" borderId="55" xfId="42" applyNumberFormat="1" applyFont="1" applyBorder="1" applyAlignment="1">
      <alignment horizontal="left"/>
    </xf>
    <xf numFmtId="2" fontId="99" fillId="0" borderId="55" xfId="0" applyNumberFormat="1" applyFont="1" applyBorder="1" applyAlignment="1">
      <alignment horizontal="left"/>
    </xf>
    <xf numFmtId="2" fontId="99" fillId="0" borderId="60" xfId="0" applyNumberFormat="1" applyFont="1" applyBorder="1" applyAlignment="1">
      <alignment horizontal="left"/>
    </xf>
    <xf numFmtId="2" fontId="92" fillId="0" borderId="32" xfId="0" applyNumberFormat="1" applyFont="1" applyBorder="1" applyAlignment="1">
      <alignment horizontal="left" vertical="center"/>
    </xf>
    <xf numFmtId="2" fontId="92" fillId="0" borderId="31" xfId="0" applyNumberFormat="1" applyFont="1" applyBorder="1" applyAlignment="1">
      <alignment horizontal="left" vertical="center"/>
    </xf>
    <xf numFmtId="2" fontId="92" fillId="0" borderId="30" xfId="0" applyNumberFormat="1" applyFont="1" applyBorder="1" applyAlignment="1">
      <alignment horizontal="left"/>
    </xf>
    <xf numFmtId="0" fontId="92" fillId="0" borderId="31" xfId="0" applyFont="1" applyBorder="1" applyAlignment="1">
      <alignment horizontal="left"/>
    </xf>
    <xf numFmtId="0" fontId="92" fillId="0" borderId="33" xfId="0" applyFont="1" applyBorder="1" applyAlignment="1">
      <alignment horizontal="left"/>
    </xf>
    <xf numFmtId="2" fontId="92" fillId="0" borderId="32" xfId="0" applyNumberFormat="1" applyFont="1" applyBorder="1" applyAlignment="1">
      <alignment horizontal="left"/>
    </xf>
    <xf numFmtId="2" fontId="92" fillId="0" borderId="31" xfId="0" applyNumberFormat="1" applyFont="1" applyBorder="1" applyAlignment="1">
      <alignment horizontal="left"/>
    </xf>
    <xf numFmtId="2" fontId="92" fillId="0" borderId="33" xfId="0" applyNumberFormat="1" applyFont="1" applyBorder="1" applyAlignment="1">
      <alignment horizontal="left"/>
    </xf>
    <xf numFmtId="164" fontId="94" fillId="0" borderId="31" xfId="0" applyNumberFormat="1" applyFont="1" applyBorder="1" applyAlignment="1">
      <alignment horizontal="left"/>
    </xf>
    <xf numFmtId="0" fontId="102" fillId="0" borderId="60" xfId="0" applyFont="1" applyBorder="1" applyAlignment="1">
      <alignment horizontal="left"/>
    </xf>
    <xf numFmtId="2" fontId="91" fillId="0" borderId="59" xfId="0" applyNumberFormat="1" applyFont="1" applyBorder="1" applyAlignment="1">
      <alignment horizontal="left" vertical="center"/>
    </xf>
    <xf numFmtId="2" fontId="91" fillId="0" borderId="56" xfId="0" applyNumberFormat="1" applyFont="1" applyBorder="1" applyAlignment="1">
      <alignment horizontal="left" vertical="center"/>
    </xf>
    <xf numFmtId="2" fontId="91" fillId="0" borderId="57" xfId="0" applyNumberFormat="1" applyFont="1" applyBorder="1" applyAlignment="1">
      <alignment horizontal="left" vertical="center"/>
    </xf>
    <xf numFmtId="2" fontId="91" fillId="0" borderId="55" xfId="0" applyNumberFormat="1" applyFont="1" applyBorder="1" applyAlignment="1">
      <alignment horizontal="left"/>
    </xf>
    <xf numFmtId="0" fontId="91" fillId="0" borderId="56" xfId="0" applyFont="1" applyBorder="1" applyAlignment="1">
      <alignment horizontal="left"/>
    </xf>
    <xf numFmtId="0" fontId="91" fillId="0" borderId="58" xfId="0" applyFont="1" applyBorder="1" applyAlignment="1">
      <alignment horizontal="left"/>
    </xf>
    <xf numFmtId="2" fontId="91" fillId="0" borderId="56" xfId="0" applyNumberFormat="1" applyFont="1" applyBorder="1" applyAlignment="1">
      <alignment horizontal="left"/>
    </xf>
    <xf numFmtId="2" fontId="91" fillId="0" borderId="58" xfId="0" applyNumberFormat="1" applyFont="1" applyBorder="1" applyAlignment="1">
      <alignment horizontal="left"/>
    </xf>
    <xf numFmtId="0" fontId="102" fillId="0" borderId="56" xfId="0" applyFont="1" applyBorder="1" applyAlignment="1">
      <alignment horizontal="left"/>
    </xf>
    <xf numFmtId="0" fontId="102" fillId="0" borderId="58" xfId="0" applyFont="1" applyBorder="1" applyAlignment="1">
      <alignment horizontal="left"/>
    </xf>
    <xf numFmtId="1" fontId="95" fillId="0" borderId="45" xfId="0" applyNumberFormat="1" applyFont="1" applyBorder="1" applyAlignment="1">
      <alignment horizontal="left"/>
    </xf>
    <xf numFmtId="1" fontId="97" fillId="0" borderId="0" xfId="0" applyNumberFormat="1" applyFont="1" applyFill="1" applyAlignment="1">
      <alignment horizontal="left"/>
    </xf>
    <xf numFmtId="1" fontId="95" fillId="0" borderId="27" xfId="0" applyNumberFormat="1" applyFont="1" applyFill="1" applyBorder="1" applyAlignment="1">
      <alignment horizontal="left" vertical="top" wrapText="1"/>
    </xf>
    <xf numFmtId="1" fontId="6" fillId="0" borderId="27" xfId="0" applyNumberFormat="1" applyFont="1" applyFill="1" applyBorder="1" applyAlignment="1">
      <alignment horizontal="left" vertical="top" wrapText="1"/>
    </xf>
    <xf numFmtId="1" fontId="6" fillId="0" borderId="61" xfId="0" applyNumberFormat="1" applyFont="1" applyFill="1" applyBorder="1" applyAlignment="1">
      <alignment horizontal="left" vertical="top" wrapText="1"/>
    </xf>
    <xf numFmtId="1" fontId="92" fillId="0" borderId="12" xfId="0" applyNumberFormat="1" applyFont="1" applyFill="1" applyBorder="1" applyAlignment="1">
      <alignment horizontal="left" wrapText="1"/>
    </xf>
    <xf numFmtId="1" fontId="92" fillId="0" borderId="12" xfId="0" applyNumberFormat="1" applyFont="1" applyFill="1" applyBorder="1" applyAlignment="1">
      <alignment horizontal="left" vertical="top" shrinkToFit="1"/>
    </xf>
    <xf numFmtId="1" fontId="92" fillId="0" borderId="12" xfId="0" applyNumberFormat="1" applyFont="1" applyFill="1" applyBorder="1" applyAlignment="1">
      <alignment horizontal="left" vertical="top" wrapText="1"/>
    </xf>
    <xf numFmtId="1" fontId="91" fillId="0" borderId="12" xfId="0" applyNumberFormat="1" applyFont="1" applyFill="1" applyBorder="1" applyAlignment="1">
      <alignment horizontal="left" vertical="top" shrinkToFit="1"/>
    </xf>
    <xf numFmtId="1" fontId="92" fillId="0" borderId="11" xfId="0" applyNumberFormat="1" applyFont="1" applyFill="1" applyBorder="1" applyAlignment="1">
      <alignment horizontal="left" wrapText="1"/>
    </xf>
    <xf numFmtId="1" fontId="92" fillId="0" borderId="10" xfId="0" applyNumberFormat="1" applyFont="1" applyFill="1" applyBorder="1" applyAlignment="1">
      <alignment horizontal="left" wrapText="1"/>
    </xf>
    <xf numFmtId="1" fontId="92" fillId="0" borderId="11" xfId="0" applyNumberFormat="1" applyFont="1" applyFill="1" applyBorder="1" applyAlignment="1">
      <alignment horizontal="left" vertical="top" shrinkToFit="1"/>
    </xf>
    <xf numFmtId="1" fontId="92" fillId="0" borderId="11" xfId="0" applyNumberFormat="1" applyFont="1" applyFill="1" applyBorder="1" applyAlignment="1">
      <alignment horizontal="left" vertical="top" wrapText="1"/>
    </xf>
    <xf numFmtId="1" fontId="91" fillId="0" borderId="11" xfId="0" applyNumberFormat="1" applyFont="1" applyFill="1" applyBorder="1" applyAlignment="1">
      <alignment horizontal="left" vertical="top" shrinkToFit="1"/>
    </xf>
    <xf numFmtId="1" fontId="91" fillId="0" borderId="10" xfId="0" applyNumberFormat="1" applyFont="1" applyFill="1" applyBorder="1" applyAlignment="1">
      <alignment horizontal="left" vertical="top" shrinkToFit="1"/>
    </xf>
    <xf numFmtId="1" fontId="91" fillId="0" borderId="23" xfId="0" applyNumberFormat="1" applyFont="1" applyFill="1" applyBorder="1" applyAlignment="1">
      <alignment horizontal="left" vertical="top" shrinkToFit="1"/>
    </xf>
    <xf numFmtId="1" fontId="91" fillId="0" borderId="21" xfId="0" applyNumberFormat="1" applyFont="1" applyFill="1" applyBorder="1" applyAlignment="1">
      <alignment horizontal="left" vertical="top" shrinkToFit="1"/>
    </xf>
    <xf numFmtId="1" fontId="91" fillId="0" borderId="22" xfId="0" applyNumberFormat="1" applyFont="1" applyFill="1" applyBorder="1" applyAlignment="1">
      <alignment horizontal="left" vertical="top" shrinkToFit="1"/>
    </xf>
    <xf numFmtId="2" fontId="92" fillId="0" borderId="13" xfId="42" applyNumberFormat="1" applyFont="1" applyBorder="1" applyAlignment="1">
      <alignment horizontal="left"/>
    </xf>
    <xf numFmtId="2" fontId="92" fillId="0" borderId="10" xfId="0" applyNumberFormat="1" applyFont="1" applyFill="1" applyBorder="1" applyAlignment="1">
      <alignment horizontal="left"/>
    </xf>
    <xf numFmtId="1" fontId="92" fillId="0" borderId="27" xfId="42" applyNumberFormat="1" applyFont="1" applyBorder="1" applyAlignment="1">
      <alignment horizontal="left"/>
    </xf>
    <xf numFmtId="2" fontId="92" fillId="0" borderId="10" xfId="42" applyNumberFormat="1" applyFont="1" applyBorder="1" applyAlignment="1">
      <alignment horizontal="left"/>
    </xf>
    <xf numFmtId="1" fontId="92" fillId="0" borderId="0" xfId="0" applyNumberFormat="1" applyFont="1" applyBorder="1" applyAlignment="1">
      <alignment horizontal="left"/>
    </xf>
    <xf numFmtId="1" fontId="92" fillId="0" borderId="25" xfId="0" applyNumberFormat="1" applyFont="1" applyBorder="1" applyAlignment="1">
      <alignment horizontal="left"/>
    </xf>
    <xf numFmtId="2" fontId="92" fillId="0" borderId="20" xfId="42" applyNumberFormat="1" applyFont="1" applyBorder="1" applyAlignment="1">
      <alignment horizontal="left"/>
    </xf>
    <xf numFmtId="2" fontId="92" fillId="0" borderId="21" xfId="42" applyNumberFormat="1" applyFont="1" applyBorder="1" applyAlignment="1">
      <alignment horizontal="left"/>
    </xf>
    <xf numFmtId="2" fontId="92" fillId="0" borderId="22" xfId="42" applyNumberFormat="1" applyFont="1" applyBorder="1" applyAlignment="1">
      <alignment horizontal="left"/>
    </xf>
    <xf numFmtId="2" fontId="91" fillId="0" borderId="47" xfId="0" applyNumberFormat="1" applyFont="1" applyBorder="1" applyAlignment="1">
      <alignment horizontal="left"/>
    </xf>
    <xf numFmtId="2" fontId="91" fillId="0" borderId="48" xfId="0" applyNumberFormat="1" applyFont="1" applyBorder="1" applyAlignment="1">
      <alignment horizontal="left"/>
    </xf>
    <xf numFmtId="2" fontId="92" fillId="0" borderId="48" xfId="0" applyNumberFormat="1" applyFont="1" applyBorder="1" applyAlignment="1">
      <alignment horizontal="left"/>
    </xf>
    <xf numFmtId="2" fontId="92" fillId="0" borderId="49" xfId="0" applyNumberFormat="1" applyFont="1" applyBorder="1" applyAlignment="1">
      <alignment horizontal="left"/>
    </xf>
    <xf numFmtId="0" fontId="92" fillId="0" borderId="0" xfId="0" applyFont="1" applyAlignment="1">
      <alignment horizontal="center"/>
    </xf>
    <xf numFmtId="1" fontId="92" fillId="0" borderId="47" xfId="0" applyNumberFormat="1" applyFont="1" applyBorder="1" applyAlignment="1">
      <alignment horizontal="center" vertical="justify" wrapText="1"/>
    </xf>
    <xf numFmtId="1" fontId="91" fillId="0" borderId="48" xfId="0" applyNumberFormat="1" applyFont="1" applyBorder="1" applyAlignment="1">
      <alignment horizontal="center" vertical="justify" wrapText="1"/>
    </xf>
    <xf numFmtId="0" fontId="91" fillId="0" borderId="62" xfId="0" applyFont="1" applyBorder="1" applyAlignment="1">
      <alignment horizontal="center" vertical="center"/>
    </xf>
    <xf numFmtId="0" fontId="91" fillId="0" borderId="47" xfId="0" applyFont="1" applyBorder="1" applyAlignment="1">
      <alignment horizontal="center" vertical="center"/>
    </xf>
    <xf numFmtId="0" fontId="91" fillId="0" borderId="48" xfId="0" applyFont="1" applyBorder="1" applyAlignment="1">
      <alignment horizontal="center" vertical="center"/>
    </xf>
    <xf numFmtId="0" fontId="91" fillId="0" borderId="63" xfId="0" applyFont="1" applyBorder="1" applyAlignment="1">
      <alignment horizontal="center" vertical="center"/>
    </xf>
    <xf numFmtId="0" fontId="91" fillId="0" borderId="54" xfId="0" applyFont="1" applyBorder="1" applyAlignment="1">
      <alignment horizontal="center" vertical="center"/>
    </xf>
    <xf numFmtId="0" fontId="91" fillId="0" borderId="64" xfId="0" applyFont="1" applyBorder="1" applyAlignment="1">
      <alignment horizontal="center" vertical="center"/>
    </xf>
    <xf numFmtId="1" fontId="91" fillId="0" borderId="48" xfId="0" applyNumberFormat="1" applyFont="1" applyBorder="1" applyAlignment="1">
      <alignment horizontal="center" vertical="center"/>
    </xf>
    <xf numFmtId="1" fontId="91" fillId="0" borderId="63" xfId="0" applyNumberFormat="1" applyFont="1" applyBorder="1" applyAlignment="1">
      <alignment horizontal="center" vertical="center"/>
    </xf>
    <xf numFmtId="1" fontId="91" fillId="0" borderId="54" xfId="0" applyNumberFormat="1" applyFont="1" applyBorder="1" applyAlignment="1">
      <alignment horizontal="center" vertical="center"/>
    </xf>
    <xf numFmtId="0" fontId="91" fillId="0" borderId="49" xfId="0" applyFont="1" applyBorder="1" applyAlignment="1">
      <alignment horizontal="center" vertical="center"/>
    </xf>
    <xf numFmtId="1" fontId="91" fillId="0" borderId="64" xfId="0" applyNumberFormat="1" applyFont="1" applyBorder="1" applyAlignment="1">
      <alignment horizontal="center" vertical="center"/>
    </xf>
    <xf numFmtId="3" fontId="95" fillId="0" borderId="47" xfId="0" applyNumberFormat="1" applyFont="1" applyBorder="1" applyAlignment="1">
      <alignment horizontal="center"/>
    </xf>
    <xf numFmtId="3" fontId="95" fillId="0" borderId="48" xfId="0" applyNumberFormat="1" applyFont="1" applyBorder="1" applyAlignment="1">
      <alignment horizontal="center"/>
    </xf>
    <xf numFmtId="164" fontId="95" fillId="0" borderId="48" xfId="0" applyNumberFormat="1" applyFont="1" applyBorder="1" applyAlignment="1">
      <alignment horizontal="center"/>
    </xf>
    <xf numFmtId="164" fontId="95" fillId="0" borderId="63" xfId="0" applyNumberFormat="1" applyFont="1" applyBorder="1" applyAlignment="1">
      <alignment horizontal="center"/>
    </xf>
    <xf numFmtId="3" fontId="95" fillId="0" borderId="54" xfId="0" applyNumberFormat="1" applyFont="1" applyBorder="1" applyAlignment="1">
      <alignment horizontal="center"/>
    </xf>
    <xf numFmtId="0" fontId="95" fillId="0" borderId="54" xfId="0" applyFont="1" applyBorder="1" applyAlignment="1">
      <alignment horizontal="center"/>
    </xf>
    <xf numFmtId="1" fontId="100" fillId="0" borderId="11" xfId="0" applyNumberFormat="1" applyFont="1" applyBorder="1" applyAlignment="1">
      <alignment horizontal="center" vertical="justify" wrapText="1"/>
    </xf>
    <xf numFmtId="1" fontId="92" fillId="0" borderId="12" xfId="0" applyNumberFormat="1" applyFont="1" applyBorder="1" applyAlignment="1">
      <alignment horizontal="center" vertical="justify" wrapText="1"/>
    </xf>
    <xf numFmtId="2" fontId="92" fillId="0" borderId="29" xfId="0" applyNumberFormat="1" applyFont="1" applyBorder="1" applyAlignment="1">
      <alignment horizontal="center" vertical="center"/>
    </xf>
    <xf numFmtId="2" fontId="92" fillId="0" borderId="11" xfId="0" applyNumberFormat="1" applyFont="1" applyBorder="1" applyAlignment="1">
      <alignment horizontal="center"/>
    </xf>
    <xf numFmtId="1" fontId="92" fillId="0" borderId="12" xfId="0" applyNumberFormat="1" applyFont="1" applyBorder="1" applyAlignment="1">
      <alignment horizontal="center"/>
    </xf>
    <xf numFmtId="1" fontId="92" fillId="0" borderId="24" xfId="0" applyNumberFormat="1" applyFont="1" applyBorder="1" applyAlignment="1">
      <alignment horizontal="center"/>
    </xf>
    <xf numFmtId="1" fontId="92" fillId="0" borderId="27" xfId="0" applyNumberFormat="1" applyFont="1" applyBorder="1" applyAlignment="1">
      <alignment horizontal="center"/>
    </xf>
    <xf numFmtId="2" fontId="92" fillId="0" borderId="29" xfId="0" applyNumberFormat="1" applyFont="1" applyBorder="1" applyAlignment="1">
      <alignment horizontal="center"/>
    </xf>
    <xf numFmtId="1" fontId="92" fillId="0" borderId="11" xfId="0" applyNumberFormat="1" applyFont="1" applyBorder="1" applyAlignment="1">
      <alignment horizontal="center"/>
    </xf>
    <xf numFmtId="2" fontId="92" fillId="0" borderId="13" xfId="0" applyNumberFormat="1" applyFont="1" applyBorder="1" applyAlignment="1">
      <alignment horizontal="center"/>
    </xf>
    <xf numFmtId="2" fontId="92" fillId="0" borderId="27" xfId="0" applyNumberFormat="1" applyFont="1" applyBorder="1" applyAlignment="1">
      <alignment horizontal="center"/>
    </xf>
    <xf numFmtId="1" fontId="92" fillId="0" borderId="13" xfId="0" applyNumberFormat="1" applyFont="1" applyBorder="1" applyAlignment="1">
      <alignment horizontal="center"/>
    </xf>
    <xf numFmtId="2" fontId="92" fillId="0" borderId="12" xfId="0" applyNumberFormat="1" applyFont="1" applyBorder="1" applyAlignment="1">
      <alignment horizontal="center"/>
    </xf>
    <xf numFmtId="2" fontId="92" fillId="0" borderId="24" xfId="0" applyNumberFormat="1" applyFont="1" applyBorder="1" applyAlignment="1">
      <alignment horizontal="center"/>
    </xf>
    <xf numFmtId="1" fontId="91" fillId="0" borderId="43" xfId="0" applyNumberFormat="1" applyFont="1" applyBorder="1" applyAlignment="1">
      <alignment horizontal="center" vertical="center"/>
    </xf>
    <xf numFmtId="1" fontId="92" fillId="0" borderId="12" xfId="44" applyNumberFormat="1" applyFont="1" applyBorder="1" applyAlignment="1">
      <alignment horizontal="center"/>
    </xf>
    <xf numFmtId="1" fontId="92" fillId="0" borderId="10" xfId="44" applyNumberFormat="1" applyFont="1" applyBorder="1" applyAlignment="1">
      <alignment horizontal="center"/>
    </xf>
    <xf numFmtId="2" fontId="92" fillId="0" borderId="27" xfId="44" applyNumberFormat="1" applyFont="1" applyBorder="1" applyAlignment="1">
      <alignment horizontal="center"/>
    </xf>
    <xf numFmtId="1" fontId="92" fillId="0" borderId="13" xfId="0" applyNumberFormat="1" applyFont="1" applyBorder="1" applyAlignment="1">
      <alignment horizontal="center" wrapText="1"/>
    </xf>
    <xf numFmtId="1" fontId="95" fillId="0" borderId="11" xfId="0" applyNumberFormat="1" applyFont="1" applyBorder="1" applyAlignment="1">
      <alignment horizontal="center"/>
    </xf>
    <xf numFmtId="1" fontId="95" fillId="0" borderId="12" xfId="0" applyNumberFormat="1" applyFont="1" applyBorder="1" applyAlignment="1">
      <alignment horizontal="center"/>
    </xf>
    <xf numFmtId="1" fontId="95" fillId="0" borderId="24" xfId="0" applyNumberFormat="1" applyFont="1" applyBorder="1" applyAlignment="1">
      <alignment horizontal="center"/>
    </xf>
    <xf numFmtId="1" fontId="95" fillId="0" borderId="27" xfId="0" applyNumberFormat="1" applyFont="1" applyBorder="1" applyAlignment="1">
      <alignment horizontal="center"/>
    </xf>
    <xf numFmtId="0" fontId="95" fillId="0" borderId="27" xfId="0" applyFont="1" applyBorder="1" applyAlignment="1">
      <alignment horizontal="center"/>
    </xf>
    <xf numFmtId="1" fontId="92" fillId="0" borderId="11" xfId="0" applyNumberFormat="1" applyFont="1" applyFill="1" applyBorder="1" applyAlignment="1">
      <alignment horizontal="center"/>
    </xf>
    <xf numFmtId="1" fontId="92" fillId="0" borderId="12" xfId="0" applyNumberFormat="1" applyFont="1" applyFill="1" applyBorder="1" applyAlignment="1">
      <alignment horizontal="center"/>
    </xf>
    <xf numFmtId="1" fontId="92" fillId="0" borderId="24" xfId="0" applyNumberFormat="1" applyFont="1" applyFill="1" applyBorder="1" applyAlignment="1">
      <alignment horizontal="center"/>
    </xf>
    <xf numFmtId="1" fontId="92" fillId="0" borderId="27" xfId="0" applyNumberFormat="1" applyFont="1" applyFill="1" applyBorder="1" applyAlignment="1">
      <alignment horizontal="center"/>
    </xf>
    <xf numFmtId="2" fontId="92" fillId="0" borderId="29" xfId="0" applyNumberFormat="1" applyFont="1" applyFill="1" applyBorder="1" applyAlignment="1">
      <alignment horizontal="center"/>
    </xf>
    <xf numFmtId="1" fontId="92" fillId="0" borderId="13" xfId="42" applyNumberFormat="1" applyFont="1" applyBorder="1" applyAlignment="1">
      <alignment horizontal="center"/>
    </xf>
    <xf numFmtId="1" fontId="92" fillId="0" borderId="12" xfId="42" applyNumberFormat="1" applyFont="1" applyBorder="1" applyAlignment="1">
      <alignment horizontal="center"/>
    </xf>
    <xf numFmtId="1" fontId="92" fillId="0" borderId="24" xfId="42" applyNumberFormat="1" applyFont="1" applyBorder="1" applyAlignment="1">
      <alignment horizontal="center"/>
    </xf>
    <xf numFmtId="1" fontId="92" fillId="0" borderId="27" xfId="42" applyNumberFormat="1" applyFont="1" applyBorder="1" applyAlignment="1">
      <alignment horizontal="center"/>
    </xf>
    <xf numFmtId="2" fontId="92" fillId="0" borderId="27" xfId="42" applyNumberFormat="1" applyFont="1" applyBorder="1" applyAlignment="1">
      <alignment horizontal="center"/>
    </xf>
    <xf numFmtId="2" fontId="91" fillId="0" borderId="13" xfId="0" applyNumberFormat="1" applyFont="1" applyBorder="1" applyAlignment="1">
      <alignment horizontal="center"/>
    </xf>
    <xf numFmtId="2" fontId="91" fillId="0" borderId="27" xfId="0" applyNumberFormat="1" applyFont="1" applyBorder="1" applyAlignment="1">
      <alignment horizontal="center"/>
    </xf>
    <xf numFmtId="2" fontId="91" fillId="0" borderId="11" xfId="0" applyNumberFormat="1" applyFont="1" applyBorder="1" applyAlignment="1">
      <alignment horizontal="center"/>
    </xf>
    <xf numFmtId="1" fontId="92" fillId="0" borderId="11" xfId="0" applyNumberFormat="1" applyFont="1" applyBorder="1" applyAlignment="1">
      <alignment horizontal="center" vertical="justify" wrapText="1"/>
    </xf>
    <xf numFmtId="1" fontId="100" fillId="0" borderId="11" xfId="0" applyNumberFormat="1" applyFont="1" applyBorder="1" applyAlignment="1">
      <alignment horizontal="center"/>
    </xf>
    <xf numFmtId="1" fontId="91" fillId="0" borderId="12" xfId="0" applyNumberFormat="1" applyFont="1" applyBorder="1" applyAlignment="1">
      <alignment horizontal="center" vertical="justify" wrapText="1"/>
    </xf>
    <xf numFmtId="2" fontId="91" fillId="0" borderId="29" xfId="0" applyNumberFormat="1" applyFont="1" applyBorder="1" applyAlignment="1">
      <alignment horizontal="center" vertical="center"/>
    </xf>
    <xf numFmtId="1" fontId="91" fillId="0" borderId="12" xfId="0" applyNumberFormat="1" applyFont="1" applyBorder="1" applyAlignment="1">
      <alignment horizontal="center"/>
    </xf>
    <xf numFmtId="1" fontId="91" fillId="0" borderId="24" xfId="0" applyNumberFormat="1" applyFont="1" applyBorder="1" applyAlignment="1">
      <alignment horizontal="center"/>
    </xf>
    <xf numFmtId="1" fontId="91" fillId="0" borderId="27" xfId="0" applyNumberFormat="1" applyFont="1" applyBorder="1" applyAlignment="1">
      <alignment horizontal="center"/>
    </xf>
    <xf numFmtId="2" fontId="91" fillId="0" borderId="29" xfId="0" applyNumberFormat="1" applyFont="1" applyBorder="1" applyAlignment="1">
      <alignment horizontal="center"/>
    </xf>
    <xf numFmtId="1" fontId="91" fillId="0" borderId="11" xfId="0" applyNumberFormat="1" applyFont="1" applyBorder="1" applyAlignment="1">
      <alignment horizontal="center"/>
    </xf>
    <xf numFmtId="1" fontId="91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" fontId="92" fillId="0" borderId="10" xfId="0" applyNumberFormat="1" applyFont="1" applyBorder="1" applyAlignment="1">
      <alignment horizontal="center"/>
    </xf>
    <xf numFmtId="1" fontId="92" fillId="0" borderId="23" xfId="0" applyNumberFormat="1" applyFont="1" applyBorder="1" applyAlignment="1">
      <alignment horizontal="center" vertical="justify" wrapText="1"/>
    </xf>
    <xf numFmtId="1" fontId="92" fillId="0" borderId="21" xfId="0" applyNumberFormat="1" applyFont="1" applyBorder="1" applyAlignment="1">
      <alignment horizontal="center" vertical="justify" wrapText="1"/>
    </xf>
    <xf numFmtId="2" fontId="92" fillId="0" borderId="65" xfId="0" applyNumberFormat="1" applyFont="1" applyBorder="1" applyAlignment="1">
      <alignment horizontal="center" vertical="center"/>
    </xf>
    <xf numFmtId="2" fontId="92" fillId="0" borderId="23" xfId="0" applyNumberFormat="1" applyFont="1" applyBorder="1" applyAlignment="1">
      <alignment horizontal="center"/>
    </xf>
    <xf numFmtId="1" fontId="92" fillId="0" borderId="21" xfId="0" applyNumberFormat="1" applyFont="1" applyBorder="1" applyAlignment="1">
      <alignment horizontal="center"/>
    </xf>
    <xf numFmtId="1" fontId="92" fillId="0" borderId="66" xfId="0" applyNumberFormat="1" applyFont="1" applyBorder="1" applyAlignment="1">
      <alignment horizontal="center"/>
    </xf>
    <xf numFmtId="1" fontId="92" fillId="0" borderId="61" xfId="0" applyNumberFormat="1" applyFont="1" applyBorder="1" applyAlignment="1">
      <alignment horizontal="center"/>
    </xf>
    <xf numFmtId="2" fontId="92" fillId="0" borderId="65" xfId="0" applyNumberFormat="1" applyFont="1" applyBorder="1" applyAlignment="1">
      <alignment horizontal="center"/>
    </xf>
    <xf numFmtId="1" fontId="92" fillId="0" borderId="23" xfId="0" applyNumberFormat="1" applyFont="1" applyBorder="1" applyAlignment="1">
      <alignment horizontal="center"/>
    </xf>
    <xf numFmtId="2" fontId="92" fillId="0" borderId="20" xfId="0" applyNumberFormat="1" applyFont="1" applyBorder="1" applyAlignment="1">
      <alignment horizontal="center"/>
    </xf>
    <xf numFmtId="2" fontId="92" fillId="0" borderId="61" xfId="0" applyNumberFormat="1" applyFont="1" applyBorder="1" applyAlignment="1">
      <alignment horizontal="center"/>
    </xf>
    <xf numFmtId="1" fontId="92" fillId="0" borderId="20" xfId="0" applyNumberFormat="1" applyFont="1" applyBorder="1" applyAlignment="1">
      <alignment horizontal="center"/>
    </xf>
    <xf numFmtId="1" fontId="91" fillId="0" borderId="67" xfId="0" applyNumberFormat="1" applyFont="1" applyBorder="1" applyAlignment="1">
      <alignment horizontal="center" vertical="center"/>
    </xf>
    <xf numFmtId="1" fontId="92" fillId="0" borderId="22" xfId="0" applyNumberFormat="1" applyFont="1" applyBorder="1" applyAlignment="1">
      <alignment horizontal="center"/>
    </xf>
    <xf numFmtId="1" fontId="92" fillId="0" borderId="20" xfId="0" applyNumberFormat="1" applyFont="1" applyBorder="1" applyAlignment="1">
      <alignment horizontal="center" wrapText="1"/>
    </xf>
    <xf numFmtId="1" fontId="95" fillId="0" borderId="23" xfId="0" applyNumberFormat="1" applyFont="1" applyBorder="1" applyAlignment="1">
      <alignment horizontal="center"/>
    </xf>
    <xf numFmtId="1" fontId="95" fillId="0" borderId="21" xfId="0" applyNumberFormat="1" applyFont="1" applyBorder="1" applyAlignment="1">
      <alignment horizontal="center"/>
    </xf>
    <xf numFmtId="1" fontId="95" fillId="0" borderId="66" xfId="0" applyNumberFormat="1" applyFont="1" applyBorder="1" applyAlignment="1">
      <alignment horizontal="center"/>
    </xf>
    <xf numFmtId="1" fontId="95" fillId="0" borderId="61" xfId="0" applyNumberFormat="1" applyFont="1" applyBorder="1" applyAlignment="1">
      <alignment horizontal="center"/>
    </xf>
    <xf numFmtId="0" fontId="95" fillId="0" borderId="61" xfId="0" applyFont="1" applyBorder="1" applyAlignment="1">
      <alignment horizontal="center"/>
    </xf>
    <xf numFmtId="1" fontId="92" fillId="0" borderId="23" xfId="0" applyNumberFormat="1" applyFont="1" applyFill="1" applyBorder="1" applyAlignment="1">
      <alignment horizontal="center"/>
    </xf>
    <xf numFmtId="1" fontId="92" fillId="0" borderId="21" xfId="0" applyNumberFormat="1" applyFont="1" applyFill="1" applyBorder="1" applyAlignment="1">
      <alignment horizontal="center"/>
    </xf>
    <xf numFmtId="1" fontId="92" fillId="0" borderId="66" xfId="0" applyNumberFormat="1" applyFont="1" applyFill="1" applyBorder="1" applyAlignment="1">
      <alignment horizontal="center"/>
    </xf>
    <xf numFmtId="1" fontId="92" fillId="0" borderId="61" xfId="0" applyNumberFormat="1" applyFont="1" applyFill="1" applyBorder="1" applyAlignment="1">
      <alignment horizontal="center"/>
    </xf>
    <xf numFmtId="2" fontId="92" fillId="0" borderId="65" xfId="0" applyNumberFormat="1" applyFont="1" applyFill="1" applyBorder="1" applyAlignment="1">
      <alignment horizontal="center"/>
    </xf>
    <xf numFmtId="1" fontId="92" fillId="0" borderId="20" xfId="42" applyNumberFormat="1" applyFont="1" applyBorder="1" applyAlignment="1">
      <alignment horizontal="center"/>
    </xf>
    <xf numFmtId="1" fontId="92" fillId="0" borderId="21" xfId="42" applyNumberFormat="1" applyFont="1" applyBorder="1" applyAlignment="1">
      <alignment horizontal="center"/>
    </xf>
    <xf numFmtId="1" fontId="92" fillId="0" borderId="66" xfId="42" applyNumberFormat="1" applyFont="1" applyBorder="1" applyAlignment="1">
      <alignment horizontal="center"/>
    </xf>
    <xf numFmtId="1" fontId="92" fillId="0" borderId="61" xfId="42" applyNumberFormat="1" applyFont="1" applyBorder="1" applyAlignment="1">
      <alignment horizontal="center"/>
    </xf>
    <xf numFmtId="2" fontId="92" fillId="0" borderId="61" xfId="42" applyNumberFormat="1" applyFont="1" applyBorder="1" applyAlignment="1">
      <alignment horizontal="center"/>
    </xf>
    <xf numFmtId="2" fontId="95" fillId="0" borderId="10" xfId="0" applyNumberFormat="1" applyFont="1" applyBorder="1" applyAlignment="1">
      <alignment horizontal="left"/>
    </xf>
    <xf numFmtId="2" fontId="91" fillId="0" borderId="16" xfId="0" applyNumberFormat="1" applyFont="1" applyBorder="1" applyAlignment="1">
      <alignment horizontal="left" vertical="center"/>
    </xf>
    <xf numFmtId="2" fontId="91" fillId="0" borderId="14" xfId="0" applyNumberFormat="1" applyFont="1" applyBorder="1" applyAlignment="1">
      <alignment horizontal="left" vertical="center"/>
    </xf>
    <xf numFmtId="2" fontId="91" fillId="0" borderId="18" xfId="0" applyNumberFormat="1" applyFont="1" applyBorder="1" applyAlignment="1">
      <alignment horizontal="left" vertical="center"/>
    </xf>
    <xf numFmtId="0" fontId="91" fillId="0" borderId="16" xfId="0" applyFont="1" applyBorder="1" applyAlignment="1">
      <alignment horizontal="left" vertical="center"/>
    </xf>
    <xf numFmtId="0" fontId="91" fillId="0" borderId="14" xfId="0" applyFont="1" applyBorder="1" applyAlignment="1">
      <alignment horizontal="left" vertical="center"/>
    </xf>
    <xf numFmtId="0" fontId="91" fillId="0" borderId="18" xfId="0" applyFont="1" applyBorder="1" applyAlignment="1">
      <alignment horizontal="left" vertical="center"/>
    </xf>
    <xf numFmtId="0" fontId="91" fillId="0" borderId="44" xfId="0" applyFont="1" applyBorder="1" applyAlignment="1">
      <alignment horizontal="left" vertical="center"/>
    </xf>
    <xf numFmtId="0" fontId="91" fillId="0" borderId="17" xfId="0" applyFont="1" applyBorder="1" applyAlignment="1">
      <alignment horizontal="left" vertical="center"/>
    </xf>
    <xf numFmtId="0" fontId="91" fillId="0" borderId="0" xfId="0" applyFont="1" applyFill="1" applyBorder="1" applyAlignment="1">
      <alignment/>
    </xf>
    <xf numFmtId="0" fontId="96" fillId="0" borderId="0" xfId="0" applyFont="1" applyBorder="1" applyAlignment="1">
      <alignment/>
    </xf>
    <xf numFmtId="0" fontId="104" fillId="0" borderId="0" xfId="0" applyFont="1" applyBorder="1" applyAlignment="1">
      <alignment/>
    </xf>
    <xf numFmtId="0" fontId="91" fillId="0" borderId="0" xfId="0" applyFont="1" applyAlignment="1">
      <alignment horizontal="center"/>
    </xf>
    <xf numFmtId="2" fontId="91" fillId="0" borderId="62" xfId="0" applyNumberFormat="1" applyFont="1" applyBorder="1" applyAlignment="1">
      <alignment horizontal="center" vertical="center"/>
    </xf>
    <xf numFmtId="1" fontId="91" fillId="0" borderId="47" xfId="0" applyNumberFormat="1" applyFont="1" applyBorder="1" applyAlignment="1">
      <alignment horizontal="center" vertical="center"/>
    </xf>
    <xf numFmtId="0" fontId="91" fillId="0" borderId="68" xfId="0" applyFont="1" applyBorder="1" applyAlignment="1">
      <alignment horizontal="center" vertical="center"/>
    </xf>
    <xf numFmtId="2" fontId="92" fillId="0" borderId="28" xfId="0" applyNumberFormat="1" applyFont="1" applyBorder="1" applyAlignment="1">
      <alignment horizontal="center"/>
    </xf>
    <xf numFmtId="2" fontId="91" fillId="0" borderId="28" xfId="0" applyNumberFormat="1" applyFont="1" applyBorder="1" applyAlignment="1">
      <alignment horizontal="center"/>
    </xf>
    <xf numFmtId="2" fontId="92" fillId="0" borderId="69" xfId="0" applyNumberFormat="1" applyFont="1" applyBorder="1" applyAlignment="1">
      <alignment horizontal="center"/>
    </xf>
    <xf numFmtId="1" fontId="92" fillId="0" borderId="13" xfId="44" applyNumberFormat="1" applyFont="1" applyBorder="1" applyAlignment="1">
      <alignment horizontal="center"/>
    </xf>
    <xf numFmtId="1" fontId="92" fillId="0" borderId="11" xfId="42" applyNumberFormat="1" applyFont="1" applyBorder="1" applyAlignment="1">
      <alignment horizontal="center"/>
    </xf>
    <xf numFmtId="1" fontId="92" fillId="0" borderId="23" xfId="42" applyNumberFormat="1" applyFont="1" applyBorder="1" applyAlignment="1">
      <alignment horizontal="center"/>
    </xf>
    <xf numFmtId="0" fontId="105" fillId="0" borderId="45" xfId="0" applyFont="1" applyBorder="1" applyAlignment="1">
      <alignment horizontal="left"/>
    </xf>
    <xf numFmtId="0" fontId="106" fillId="0" borderId="45" xfId="0" applyFont="1" applyBorder="1" applyAlignment="1">
      <alignment horizontal="left"/>
    </xf>
    <xf numFmtId="0" fontId="105" fillId="0" borderId="70" xfId="0" applyFont="1" applyBorder="1" applyAlignment="1">
      <alignment horizontal="left"/>
    </xf>
    <xf numFmtId="0" fontId="105" fillId="0" borderId="71" xfId="0" applyFont="1" applyBorder="1" applyAlignment="1">
      <alignment horizontal="left"/>
    </xf>
    <xf numFmtId="1" fontId="91" fillId="0" borderId="29" xfId="0" applyNumberFormat="1" applyFont="1" applyBorder="1" applyAlignment="1">
      <alignment horizontal="left" vertical="center"/>
    </xf>
    <xf numFmtId="1" fontId="92" fillId="0" borderId="29" xfId="0" applyNumberFormat="1" applyFont="1" applyBorder="1" applyAlignment="1">
      <alignment horizontal="left" vertical="center"/>
    </xf>
    <xf numFmtId="1" fontId="92" fillId="0" borderId="15" xfId="0" applyNumberFormat="1" applyFont="1" applyBorder="1" applyAlignment="1">
      <alignment horizontal="left"/>
    </xf>
    <xf numFmtId="2" fontId="92" fillId="0" borderId="11" xfId="0" applyNumberFormat="1" applyFont="1" applyBorder="1" applyAlignment="1">
      <alignment horizontal="left" vertical="center"/>
    </xf>
    <xf numFmtId="2" fontId="92" fillId="0" borderId="29" xfId="0" applyNumberFormat="1" applyFont="1" applyBorder="1" applyAlignment="1">
      <alignment horizontal="left" vertical="center"/>
    </xf>
    <xf numFmtId="1" fontId="91" fillId="0" borderId="23" xfId="0" applyNumberFormat="1" applyFont="1" applyBorder="1" applyAlignment="1">
      <alignment horizontal="left" vertical="center"/>
    </xf>
    <xf numFmtId="1" fontId="91" fillId="0" borderId="66" xfId="0" applyNumberFormat="1" applyFont="1" applyBorder="1" applyAlignment="1">
      <alignment horizontal="left" vertical="center"/>
    </xf>
    <xf numFmtId="1" fontId="91" fillId="0" borderId="69" xfId="0" applyNumberFormat="1" applyFont="1" applyBorder="1" applyAlignment="1">
      <alignment horizontal="left" vertical="center"/>
    </xf>
    <xf numFmtId="1" fontId="91" fillId="0" borderId="65" xfId="0" applyNumberFormat="1" applyFont="1" applyBorder="1" applyAlignment="1">
      <alignment horizontal="left" vertical="center"/>
    </xf>
    <xf numFmtId="1" fontId="92" fillId="0" borderId="29" xfId="0" applyNumberFormat="1" applyFont="1" applyBorder="1" applyAlignment="1">
      <alignment horizontal="left"/>
    </xf>
    <xf numFmtId="165" fontId="92" fillId="0" borderId="13" xfId="44" applyNumberFormat="1" applyFont="1" applyBorder="1" applyAlignment="1">
      <alignment horizontal="left"/>
    </xf>
    <xf numFmtId="165" fontId="92" fillId="0" borderId="10" xfId="44" applyNumberFormat="1" applyFont="1" applyBorder="1" applyAlignment="1">
      <alignment horizontal="left"/>
    </xf>
    <xf numFmtId="1" fontId="92" fillId="0" borderId="20" xfId="44" applyNumberFormat="1" applyFont="1" applyBorder="1" applyAlignment="1">
      <alignment horizontal="left"/>
    </xf>
    <xf numFmtId="1" fontId="92" fillId="0" borderId="21" xfId="44" applyNumberFormat="1" applyFont="1" applyBorder="1" applyAlignment="1">
      <alignment horizontal="left"/>
    </xf>
    <xf numFmtId="1" fontId="92" fillId="0" borderId="22" xfId="44" applyNumberFormat="1" applyFont="1" applyBorder="1" applyAlignment="1">
      <alignment horizontal="left"/>
    </xf>
    <xf numFmtId="1" fontId="92" fillId="0" borderId="20" xfId="0" applyNumberFormat="1" applyFont="1" applyBorder="1" applyAlignment="1">
      <alignment horizontal="left" wrapText="1"/>
    </xf>
    <xf numFmtId="1" fontId="6" fillId="0" borderId="10" xfId="0" applyNumberFormat="1" applyFont="1" applyBorder="1" applyAlignment="1">
      <alignment horizontal="left"/>
    </xf>
    <xf numFmtId="2" fontId="95" fillId="0" borderId="54" xfId="0" applyNumberFormat="1" applyFont="1" applyFill="1" applyBorder="1" applyAlignment="1">
      <alignment horizontal="left" vertical="center" wrapText="1"/>
    </xf>
    <xf numFmtId="2" fontId="92" fillId="0" borderId="72" xfId="0" applyNumberFormat="1" applyFont="1" applyBorder="1" applyAlignment="1">
      <alignment horizontal="left"/>
    </xf>
    <xf numFmtId="2" fontId="92" fillId="0" borderId="73" xfId="0" applyNumberFormat="1" applyFont="1" applyBorder="1" applyAlignment="1">
      <alignment horizontal="left"/>
    </xf>
    <xf numFmtId="2" fontId="92" fillId="0" borderId="64" xfId="0" applyNumberFormat="1" applyFont="1" applyBorder="1" applyAlignment="1">
      <alignment horizontal="left"/>
    </xf>
    <xf numFmtId="2" fontId="92" fillId="0" borderId="64" xfId="44" applyNumberFormat="1" applyFont="1" applyBorder="1" applyAlignment="1">
      <alignment horizontal="left"/>
    </xf>
    <xf numFmtId="2" fontId="92" fillId="0" borderId="48" xfId="44" applyNumberFormat="1" applyFont="1" applyBorder="1" applyAlignment="1">
      <alignment horizontal="left"/>
    </xf>
    <xf numFmtId="2" fontId="92" fillId="0" borderId="49" xfId="44" applyNumberFormat="1" applyFont="1" applyBorder="1" applyAlignment="1">
      <alignment horizontal="left"/>
    </xf>
    <xf numFmtId="2" fontId="92" fillId="0" borderId="64" xfId="0" applyNumberFormat="1" applyFont="1" applyBorder="1" applyAlignment="1">
      <alignment horizontal="left" wrapText="1"/>
    </xf>
    <xf numFmtId="2" fontId="92" fillId="0" borderId="47" xfId="0" applyNumberFormat="1" applyFont="1" applyFill="1" applyBorder="1" applyAlignment="1">
      <alignment horizontal="left" vertical="center" wrapText="1"/>
    </xf>
    <xf numFmtId="2" fontId="92" fillId="0" borderId="48" xfId="0" applyNumberFormat="1" applyFont="1" applyFill="1" applyBorder="1" applyAlignment="1">
      <alignment horizontal="left" vertical="center" wrapText="1"/>
    </xf>
    <xf numFmtId="2" fontId="92" fillId="0" borderId="49" xfId="0" applyNumberFormat="1" applyFont="1" applyFill="1" applyBorder="1" applyAlignment="1">
      <alignment horizontal="left" vertical="center" wrapText="1"/>
    </xf>
    <xf numFmtId="2" fontId="92" fillId="0" borderId="64" xfId="0" applyNumberFormat="1" applyFont="1" applyFill="1" applyBorder="1" applyAlignment="1">
      <alignment horizontal="left"/>
    </xf>
    <xf numFmtId="2" fontId="92" fillId="0" borderId="48" xfId="0" applyNumberFormat="1" applyFont="1" applyFill="1" applyBorder="1" applyAlignment="1">
      <alignment horizontal="left"/>
    </xf>
    <xf numFmtId="2" fontId="92" fillId="0" borderId="49" xfId="0" applyNumberFormat="1" applyFont="1" applyFill="1" applyBorder="1" applyAlignment="1">
      <alignment horizontal="left"/>
    </xf>
    <xf numFmtId="2" fontId="92" fillId="0" borderId="64" xfId="42" applyNumberFormat="1" applyFont="1" applyBorder="1" applyAlignment="1">
      <alignment horizontal="left"/>
    </xf>
    <xf numFmtId="2" fontId="92" fillId="0" borderId="48" xfId="42" applyNumberFormat="1" applyFont="1" applyBorder="1" applyAlignment="1">
      <alignment horizontal="left"/>
    </xf>
    <xf numFmtId="2" fontId="92" fillId="0" borderId="49" xfId="42" applyNumberFormat="1" applyFont="1" applyBorder="1" applyAlignment="1">
      <alignment horizontal="left"/>
    </xf>
    <xf numFmtId="2" fontId="91" fillId="0" borderId="64" xfId="0" applyNumberFormat="1" applyFont="1" applyBorder="1" applyAlignment="1">
      <alignment horizontal="left"/>
    </xf>
    <xf numFmtId="2" fontId="91" fillId="0" borderId="49" xfId="0" applyNumberFormat="1" applyFont="1" applyBorder="1" applyAlignment="1">
      <alignment horizontal="left"/>
    </xf>
    <xf numFmtId="2" fontId="92" fillId="0" borderId="47" xfId="0" applyNumberFormat="1" applyFont="1" applyBorder="1" applyAlignment="1">
      <alignment horizontal="left"/>
    </xf>
    <xf numFmtId="2" fontId="93" fillId="0" borderId="11" xfId="0" applyNumberFormat="1" applyFont="1" applyBorder="1" applyAlignment="1">
      <alignment horizontal="left" vertical="center"/>
    </xf>
    <xf numFmtId="2" fontId="93" fillId="0" borderId="13" xfId="0" applyNumberFormat="1" applyFont="1" applyBorder="1" applyAlignment="1">
      <alignment horizontal="left"/>
    </xf>
    <xf numFmtId="0" fontId="91" fillId="0" borderId="11" xfId="0" applyFont="1" applyBorder="1" applyAlignment="1">
      <alignment horizontal="left"/>
    </xf>
    <xf numFmtId="0" fontId="91" fillId="0" borderId="16" xfId="0" applyFont="1" applyBorder="1" applyAlignment="1">
      <alignment horizontal="left"/>
    </xf>
    <xf numFmtId="2" fontId="93" fillId="0" borderId="24" xfId="0" applyNumberFormat="1" applyFont="1" applyBorder="1" applyAlignment="1">
      <alignment horizontal="left"/>
    </xf>
    <xf numFmtId="0" fontId="95" fillId="0" borderId="26" xfId="0" applyFont="1" applyBorder="1" applyAlignment="1">
      <alignment horizontal="left"/>
    </xf>
    <xf numFmtId="1" fontId="91" fillId="0" borderId="16" xfId="0" applyNumberFormat="1" applyFont="1" applyBorder="1" applyAlignment="1">
      <alignment horizontal="left"/>
    </xf>
    <xf numFmtId="1" fontId="92" fillId="0" borderId="16" xfId="42" applyNumberFormat="1" applyFont="1" applyBorder="1" applyAlignment="1">
      <alignment horizontal="left"/>
    </xf>
    <xf numFmtId="1" fontId="92" fillId="0" borderId="29" xfId="42" applyNumberFormat="1" applyFont="1" applyBorder="1" applyAlignment="1">
      <alignment horizontal="left"/>
    </xf>
    <xf numFmtId="164" fontId="95" fillId="0" borderId="12" xfId="0" applyNumberFormat="1" applyFont="1" applyBorder="1" applyAlignment="1">
      <alignment horizontal="left"/>
    </xf>
    <xf numFmtId="3" fontId="95" fillId="0" borderId="48" xfId="0" applyNumberFormat="1" applyFont="1" applyBorder="1" applyAlignment="1">
      <alignment horizontal="left"/>
    </xf>
    <xf numFmtId="3" fontId="95" fillId="0" borderId="64" xfId="0" applyNumberFormat="1" applyFont="1" applyBorder="1" applyAlignment="1">
      <alignment horizontal="left"/>
    </xf>
    <xf numFmtId="164" fontId="95" fillId="0" borderId="13" xfId="0" applyNumberFormat="1" applyFont="1" applyBorder="1" applyAlignment="1">
      <alignment horizontal="left"/>
    </xf>
    <xf numFmtId="2" fontId="92" fillId="0" borderId="47" xfId="0" applyNumberFormat="1" applyFont="1" applyBorder="1" applyAlignment="1">
      <alignment horizontal="left" wrapText="1"/>
    </xf>
    <xf numFmtId="2" fontId="92" fillId="0" borderId="11" xfId="0" applyNumberFormat="1" applyFont="1" applyBorder="1" applyAlignment="1">
      <alignment horizontal="left" wrapText="1"/>
    </xf>
    <xf numFmtId="1" fontId="100" fillId="0" borderId="26" xfId="0" applyNumberFormat="1" applyFont="1" applyBorder="1" applyAlignment="1">
      <alignment horizontal="left"/>
    </xf>
    <xf numFmtId="1" fontId="92" fillId="0" borderId="43" xfId="0" applyNumberFormat="1" applyFont="1" applyBorder="1" applyAlignment="1">
      <alignment horizontal="left"/>
    </xf>
    <xf numFmtId="1" fontId="92" fillId="0" borderId="27" xfId="0" applyNumberFormat="1" applyFont="1" applyBorder="1" applyAlignment="1">
      <alignment horizontal="left"/>
    </xf>
    <xf numFmtId="1" fontId="91" fillId="0" borderId="27" xfId="0" applyNumberFormat="1" applyFont="1" applyBorder="1" applyAlignment="1">
      <alignment horizontal="left"/>
    </xf>
    <xf numFmtId="1" fontId="92" fillId="0" borderId="42" xfId="0" applyNumberFormat="1" applyFont="1" applyBorder="1" applyAlignment="1">
      <alignment horizontal="left"/>
    </xf>
    <xf numFmtId="1" fontId="91" fillId="0" borderId="29" xfId="0" applyNumberFormat="1" applyFont="1" applyBorder="1" applyAlignment="1">
      <alignment horizontal="left"/>
    </xf>
    <xf numFmtId="1" fontId="91" fillId="0" borderId="36" xfId="0" applyNumberFormat="1" applyFont="1" applyBorder="1" applyAlignment="1">
      <alignment horizontal="left"/>
    </xf>
    <xf numFmtId="1" fontId="92" fillId="0" borderId="19" xfId="42" applyNumberFormat="1" applyFont="1" applyBorder="1" applyAlignment="1">
      <alignment horizontal="left"/>
    </xf>
    <xf numFmtId="1" fontId="92" fillId="0" borderId="36" xfId="42" applyNumberFormat="1" applyFont="1" applyBorder="1" applyAlignment="1">
      <alignment horizontal="left"/>
    </xf>
    <xf numFmtId="1" fontId="92" fillId="0" borderId="43" xfId="42" applyNumberFormat="1" applyFont="1" applyBorder="1" applyAlignment="1">
      <alignment horizontal="left"/>
    </xf>
    <xf numFmtId="1" fontId="92" fillId="0" borderId="42" xfId="42" applyNumberFormat="1" applyFont="1" applyBorder="1" applyAlignment="1">
      <alignment horizontal="left"/>
    </xf>
    <xf numFmtId="1" fontId="92" fillId="0" borderId="71" xfId="0" applyNumberFormat="1" applyFont="1" applyFill="1" applyBorder="1" applyAlignment="1">
      <alignment horizontal="left"/>
    </xf>
    <xf numFmtId="1" fontId="92" fillId="0" borderId="45" xfId="0" applyNumberFormat="1" applyFont="1" applyFill="1" applyBorder="1" applyAlignment="1">
      <alignment horizontal="left"/>
    </xf>
    <xf numFmtId="1" fontId="92" fillId="0" borderId="45" xfId="0" applyNumberFormat="1" applyFont="1" applyBorder="1" applyAlignment="1">
      <alignment horizontal="left"/>
    </xf>
    <xf numFmtId="1" fontId="92" fillId="0" borderId="46" xfId="0" applyNumberFormat="1" applyFont="1" applyFill="1" applyBorder="1" applyAlignment="1">
      <alignment horizontal="left"/>
    </xf>
    <xf numFmtId="1" fontId="95" fillId="0" borderId="15" xfId="0" applyNumberFormat="1" applyFont="1" applyBorder="1" applyAlignment="1">
      <alignment horizontal="left"/>
    </xf>
    <xf numFmtId="1" fontId="92" fillId="0" borderId="71" xfId="0" applyNumberFormat="1" applyFont="1" applyBorder="1" applyAlignment="1">
      <alignment horizontal="left" wrapText="1"/>
    </xf>
    <xf numFmtId="1" fontId="92" fillId="0" borderId="45" xfId="0" applyNumberFormat="1" applyFont="1" applyBorder="1" applyAlignment="1">
      <alignment horizontal="left" wrapText="1"/>
    </xf>
    <xf numFmtId="1" fontId="92" fillId="0" borderId="46" xfId="0" applyNumberFormat="1" applyFont="1" applyBorder="1" applyAlignment="1">
      <alignment horizontal="left" wrapText="1"/>
    </xf>
    <xf numFmtId="1" fontId="92" fillId="0" borderId="71" xfId="0" applyNumberFormat="1" applyFont="1" applyBorder="1" applyAlignment="1">
      <alignment horizontal="left"/>
    </xf>
    <xf numFmtId="1" fontId="91" fillId="0" borderId="45" xfId="0" applyNumberFormat="1" applyFont="1" applyBorder="1" applyAlignment="1">
      <alignment horizontal="left"/>
    </xf>
    <xf numFmtId="1" fontId="92" fillId="0" borderId="46" xfId="0" applyNumberFormat="1" applyFont="1" applyBorder="1" applyAlignment="1">
      <alignment horizontal="left"/>
    </xf>
    <xf numFmtId="1" fontId="3" fillId="0" borderId="45" xfId="0" applyNumberFormat="1" applyFont="1" applyBorder="1" applyAlignment="1">
      <alignment horizontal="left"/>
    </xf>
    <xf numFmtId="1" fontId="92" fillId="0" borderId="71" xfId="44" applyNumberFormat="1" applyFont="1" applyBorder="1" applyAlignment="1">
      <alignment horizontal="left"/>
    </xf>
    <xf numFmtId="1" fontId="92" fillId="0" borderId="45" xfId="44" applyNumberFormat="1" applyFont="1" applyBorder="1" applyAlignment="1">
      <alignment horizontal="left"/>
    </xf>
    <xf numFmtId="1" fontId="92" fillId="0" borderId="46" xfId="44" applyNumberFormat="1" applyFont="1" applyBorder="1" applyAlignment="1">
      <alignment horizontal="left"/>
    </xf>
    <xf numFmtId="1" fontId="92" fillId="0" borderId="71" xfId="0" applyNumberFormat="1" applyFont="1" applyBorder="1" applyAlignment="1">
      <alignment horizontal="left" vertical="center"/>
    </xf>
    <xf numFmtId="1" fontId="92" fillId="0" borderId="45" xfId="0" applyNumberFormat="1" applyFont="1" applyBorder="1" applyAlignment="1">
      <alignment horizontal="left" vertical="center"/>
    </xf>
    <xf numFmtId="1" fontId="91" fillId="0" borderId="45" xfId="0" applyNumberFormat="1" applyFont="1" applyBorder="1" applyAlignment="1">
      <alignment horizontal="left" vertical="center"/>
    </xf>
    <xf numFmtId="1" fontId="92" fillId="0" borderId="46" xfId="0" applyNumberFormat="1" applyFont="1" applyBorder="1" applyAlignment="1">
      <alignment horizontal="left" vertical="center"/>
    </xf>
    <xf numFmtId="2" fontId="91" fillId="0" borderId="49" xfId="0" applyNumberFormat="1" applyFont="1" applyBorder="1" applyAlignment="1">
      <alignment horizontal="left" vertical="center"/>
    </xf>
    <xf numFmtId="1" fontId="91" fillId="0" borderId="49" xfId="0" applyNumberFormat="1" applyFont="1" applyBorder="1" applyAlignment="1">
      <alignment horizontal="center" vertical="justify" wrapText="1"/>
    </xf>
    <xf numFmtId="1" fontId="98" fillId="0" borderId="24" xfId="0" applyNumberFormat="1" applyFont="1" applyBorder="1" applyAlignment="1">
      <alignment horizontal="left"/>
    </xf>
    <xf numFmtId="1" fontId="99" fillId="0" borderId="24" xfId="0" applyNumberFormat="1" applyFont="1" applyBorder="1" applyAlignment="1">
      <alignment horizontal="left"/>
    </xf>
    <xf numFmtId="1" fontId="98" fillId="0" borderId="11" xfId="44" applyNumberFormat="1" applyFont="1" applyBorder="1" applyAlignment="1">
      <alignment horizontal="left"/>
    </xf>
    <xf numFmtId="1" fontId="98" fillId="0" borderId="13" xfId="0" applyNumberFormat="1" applyFont="1" applyFill="1" applyBorder="1" applyAlignment="1">
      <alignment horizontal="left"/>
    </xf>
    <xf numFmtId="1" fontId="98" fillId="0" borderId="32" xfId="0" applyNumberFormat="1" applyFont="1" applyFill="1" applyBorder="1" applyAlignment="1">
      <alignment horizontal="left"/>
    </xf>
    <xf numFmtId="1" fontId="91" fillId="0" borderId="49" xfId="0" applyNumberFormat="1" applyFont="1" applyBorder="1" applyAlignment="1">
      <alignment horizontal="center" vertical="justify" wrapText="1"/>
    </xf>
    <xf numFmtId="0" fontId="91" fillId="0" borderId="12" xfId="0" applyFont="1" applyBorder="1" applyAlignment="1">
      <alignment horizontal="left"/>
    </xf>
    <xf numFmtId="0" fontId="91" fillId="0" borderId="10" xfId="0" applyFont="1" applyBorder="1" applyAlignment="1">
      <alignment horizontal="left"/>
    </xf>
    <xf numFmtId="0" fontId="91" fillId="0" borderId="14" xfId="0" applyFont="1" applyBorder="1" applyAlignment="1">
      <alignment horizontal="left"/>
    </xf>
    <xf numFmtId="0" fontId="91" fillId="0" borderId="18" xfId="0" applyFont="1" applyBorder="1" applyAlignment="1">
      <alignment horizontal="left"/>
    </xf>
    <xf numFmtId="1" fontId="91" fillId="0" borderId="62" xfId="0" applyNumberFormat="1" applyFont="1" applyBorder="1" applyAlignment="1">
      <alignment horizontal="center" vertical="justify" wrapText="1"/>
    </xf>
    <xf numFmtId="1" fontId="91" fillId="0" borderId="29" xfId="0" applyNumberFormat="1" applyFont="1" applyBorder="1" applyAlignment="1">
      <alignment horizontal="center" vertical="justify" wrapText="1"/>
    </xf>
    <xf numFmtId="1" fontId="91" fillId="0" borderId="65" xfId="0" applyNumberFormat="1" applyFont="1" applyBorder="1" applyAlignment="1">
      <alignment horizontal="center" vertical="justify" wrapText="1"/>
    </xf>
    <xf numFmtId="1" fontId="92" fillId="0" borderId="12" xfId="0" applyNumberFormat="1" applyFont="1" applyFill="1" applyBorder="1" applyAlignment="1">
      <alignment horizontal="center" vertical="justify" wrapText="1"/>
    </xf>
    <xf numFmtId="1" fontId="92" fillId="0" borderId="10" xfId="0" applyNumberFormat="1" applyFont="1" applyBorder="1" applyAlignment="1">
      <alignment horizontal="center" vertical="justify" wrapText="1"/>
    </xf>
    <xf numFmtId="1" fontId="91" fillId="0" borderId="10" xfId="0" applyNumberFormat="1" applyFont="1" applyBorder="1" applyAlignment="1">
      <alignment horizontal="center" vertical="justify" wrapText="1"/>
    </xf>
    <xf numFmtId="1" fontId="92" fillId="0" borderId="22" xfId="0" applyNumberFormat="1" applyFont="1" applyBorder="1" applyAlignment="1">
      <alignment horizontal="center" vertical="justify" wrapText="1"/>
    </xf>
    <xf numFmtId="0" fontId="92" fillId="0" borderId="72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1" fontId="98" fillId="0" borderId="14" xfId="0" applyNumberFormat="1" applyFont="1" applyBorder="1" applyAlignment="1">
      <alignment horizontal="left" vertical="center"/>
    </xf>
    <xf numFmtId="1" fontId="98" fillId="0" borderId="18" xfId="0" applyNumberFormat="1" applyFont="1" applyBorder="1" applyAlignment="1">
      <alignment horizontal="left" vertical="center"/>
    </xf>
    <xf numFmtId="1" fontId="98" fillId="0" borderId="21" xfId="0" applyNumberFormat="1" applyFont="1" applyBorder="1" applyAlignment="1">
      <alignment horizontal="left" vertical="center"/>
    </xf>
    <xf numFmtId="1" fontId="98" fillId="0" borderId="22" xfId="0" applyNumberFormat="1" applyFont="1" applyBorder="1" applyAlignment="1">
      <alignment horizontal="left" vertical="center"/>
    </xf>
    <xf numFmtId="0" fontId="97" fillId="0" borderId="15" xfId="0" applyFont="1" applyBorder="1" applyAlignment="1">
      <alignment horizontal="left"/>
    </xf>
    <xf numFmtId="2" fontId="92" fillId="0" borderId="17" xfId="0" applyNumberFormat="1" applyFont="1" applyBorder="1" applyAlignment="1">
      <alignment horizontal="left" vertical="center"/>
    </xf>
    <xf numFmtId="2" fontId="92" fillId="0" borderId="14" xfId="0" applyNumberFormat="1" applyFont="1" applyBorder="1" applyAlignment="1">
      <alignment horizontal="left" vertical="center"/>
    </xf>
    <xf numFmtId="2" fontId="92" fillId="0" borderId="44" xfId="0" applyNumberFormat="1" applyFont="1" applyBorder="1" applyAlignment="1">
      <alignment horizontal="left" vertical="center"/>
    </xf>
    <xf numFmtId="2" fontId="98" fillId="0" borderId="16" xfId="0" applyNumberFormat="1" applyFont="1" applyBorder="1" applyAlignment="1">
      <alignment horizontal="left"/>
    </xf>
    <xf numFmtId="2" fontId="98" fillId="0" borderId="14" xfId="0" applyNumberFormat="1" applyFont="1" applyBorder="1" applyAlignment="1">
      <alignment horizontal="left"/>
    </xf>
    <xf numFmtId="2" fontId="98" fillId="0" borderId="44" xfId="0" applyNumberFormat="1" applyFont="1" applyBorder="1" applyAlignment="1">
      <alignment horizontal="left"/>
    </xf>
    <xf numFmtId="2" fontId="98" fillId="0" borderId="18" xfId="0" applyNumberFormat="1" applyFont="1" applyBorder="1" applyAlignment="1">
      <alignment horizontal="left"/>
    </xf>
    <xf numFmtId="2" fontId="98" fillId="0" borderId="17" xfId="0" applyNumberFormat="1" applyFont="1" applyBorder="1" applyAlignment="1">
      <alignment horizontal="left"/>
    </xf>
    <xf numFmtId="2" fontId="92" fillId="0" borderId="16" xfId="0" applyNumberFormat="1" applyFont="1" applyBorder="1" applyAlignment="1">
      <alignment horizontal="left"/>
    </xf>
    <xf numFmtId="0" fontId="92" fillId="0" borderId="14" xfId="0" applyFont="1" applyBorder="1" applyAlignment="1">
      <alignment horizontal="left"/>
    </xf>
    <xf numFmtId="2" fontId="92" fillId="0" borderId="14" xfId="44" applyNumberFormat="1" applyFont="1" applyBorder="1" applyAlignment="1">
      <alignment horizontal="left"/>
    </xf>
    <xf numFmtId="2" fontId="92" fillId="0" borderId="18" xfId="44" applyNumberFormat="1" applyFont="1" applyBorder="1" applyAlignment="1">
      <alignment horizontal="left"/>
    </xf>
    <xf numFmtId="164" fontId="94" fillId="0" borderId="14" xfId="0" applyNumberFormat="1" applyFont="1" applyBorder="1" applyAlignment="1">
      <alignment horizontal="left"/>
    </xf>
    <xf numFmtId="2" fontId="98" fillId="0" borderId="16" xfId="0" applyNumberFormat="1" applyFont="1" applyFill="1" applyBorder="1" applyAlignment="1">
      <alignment horizontal="left"/>
    </xf>
    <xf numFmtId="2" fontId="98" fillId="0" borderId="14" xfId="0" applyNumberFormat="1" applyFont="1" applyFill="1" applyBorder="1" applyAlignment="1">
      <alignment horizontal="left"/>
    </xf>
    <xf numFmtId="2" fontId="98" fillId="0" borderId="14" xfId="42" applyNumberFormat="1" applyFont="1" applyBorder="1" applyAlignment="1">
      <alignment horizontal="left"/>
    </xf>
    <xf numFmtId="2" fontId="99" fillId="0" borderId="17" xfId="0" applyNumberFormat="1" applyFont="1" applyBorder="1" applyAlignment="1">
      <alignment horizontal="left"/>
    </xf>
    <xf numFmtId="2" fontId="98" fillId="0" borderId="16" xfId="42" applyNumberFormat="1" applyFont="1" applyBorder="1" applyAlignment="1">
      <alignment horizontal="left"/>
    </xf>
    <xf numFmtId="2" fontId="99" fillId="0" borderId="16" xfId="0" applyNumberFormat="1" applyFont="1" applyBorder="1" applyAlignment="1">
      <alignment horizontal="left"/>
    </xf>
    <xf numFmtId="2" fontId="99" fillId="0" borderId="43" xfId="0" applyNumberFormat="1" applyFont="1" applyBorder="1" applyAlignment="1">
      <alignment horizontal="left"/>
    </xf>
    <xf numFmtId="0" fontId="102" fillId="0" borderId="55" xfId="0" applyFont="1" applyBorder="1" applyAlignment="1">
      <alignment horizontal="left"/>
    </xf>
    <xf numFmtId="0" fontId="102" fillId="0" borderId="50" xfId="0" applyFont="1" applyBorder="1" applyAlignment="1">
      <alignment horizontal="left"/>
    </xf>
    <xf numFmtId="0" fontId="102" fillId="0" borderId="51" xfId="0" applyFont="1" applyBorder="1" applyAlignment="1">
      <alignment horizontal="left"/>
    </xf>
    <xf numFmtId="0" fontId="102" fillId="0" borderId="74" xfId="0" applyFont="1" applyBorder="1" applyAlignment="1">
      <alignment horizontal="left"/>
    </xf>
    <xf numFmtId="1" fontId="101" fillId="0" borderId="75" xfId="0" applyNumberFormat="1" applyFont="1" applyBorder="1" applyAlignment="1">
      <alignment horizontal="left"/>
    </xf>
    <xf numFmtId="1" fontId="101" fillId="0" borderId="50" xfId="0" applyNumberFormat="1" applyFont="1" applyBorder="1" applyAlignment="1">
      <alignment horizontal="left"/>
    </xf>
    <xf numFmtId="1" fontId="101" fillId="0" borderId="25" xfId="0" applyNumberFormat="1" applyFont="1" applyBorder="1" applyAlignment="1">
      <alignment horizontal="left"/>
    </xf>
    <xf numFmtId="1" fontId="102" fillId="0" borderId="33" xfId="42" applyNumberFormat="1" applyFont="1" applyBorder="1" applyAlignment="1">
      <alignment horizontal="left"/>
    </xf>
    <xf numFmtId="1" fontId="101" fillId="0" borderId="73" xfId="0" applyNumberFormat="1" applyFont="1" applyFill="1" applyBorder="1" applyAlignment="1">
      <alignment horizontal="left" vertical="center" wrapText="1"/>
    </xf>
    <xf numFmtId="0" fontId="102" fillId="0" borderId="29" xfId="0" applyFont="1" applyBorder="1" applyAlignment="1">
      <alignment horizontal="left"/>
    </xf>
    <xf numFmtId="0" fontId="102" fillId="0" borderId="27" xfId="0" applyFont="1" applyBorder="1" applyAlignment="1">
      <alignment horizontal="left"/>
    </xf>
    <xf numFmtId="0" fontId="94" fillId="0" borderId="45" xfId="0" applyFont="1" applyBorder="1" applyAlignment="1">
      <alignment horizontal="left"/>
    </xf>
    <xf numFmtId="0" fontId="101" fillId="0" borderId="45" xfId="0" applyFont="1" applyBorder="1" applyAlignment="1">
      <alignment horizontal="left"/>
    </xf>
    <xf numFmtId="0" fontId="101" fillId="0" borderId="27" xfId="0" applyFont="1" applyBorder="1" applyAlignment="1">
      <alignment horizontal="left"/>
    </xf>
    <xf numFmtId="0" fontId="102" fillId="0" borderId="19" xfId="0" applyFont="1" applyBorder="1" applyAlignment="1">
      <alignment horizontal="left"/>
    </xf>
    <xf numFmtId="1" fontId="94" fillId="0" borderId="44" xfId="0" applyNumberFormat="1" applyFont="1" applyBorder="1" applyAlignment="1">
      <alignment horizontal="left"/>
    </xf>
    <xf numFmtId="0" fontId="94" fillId="0" borderId="43" xfId="0" applyFont="1" applyBorder="1" applyAlignment="1">
      <alignment horizontal="left"/>
    </xf>
    <xf numFmtId="0" fontId="101" fillId="0" borderId="76" xfId="0" applyFont="1" applyBorder="1" applyAlignment="1">
      <alignment horizontal="left" vertical="center"/>
    </xf>
    <xf numFmtId="0" fontId="101" fillId="0" borderId="19" xfId="0" applyFont="1" applyBorder="1" applyAlignment="1">
      <alignment horizontal="left" vertical="center"/>
    </xf>
    <xf numFmtId="0" fontId="102" fillId="0" borderId="14" xfId="0" applyFont="1" applyBorder="1" applyAlignment="1">
      <alignment horizontal="left"/>
    </xf>
    <xf numFmtId="0" fontId="102" fillId="0" borderId="18" xfId="0" applyFont="1" applyBorder="1" applyAlignment="1">
      <alignment horizontal="left"/>
    </xf>
    <xf numFmtId="1" fontId="102" fillId="0" borderId="11" xfId="0" applyNumberFormat="1" applyFont="1" applyBorder="1" applyAlignment="1">
      <alignment horizontal="left" vertical="center"/>
    </xf>
    <xf numFmtId="0" fontId="102" fillId="0" borderId="13" xfId="0" applyFont="1" applyBorder="1" applyAlignment="1">
      <alignment horizontal="left"/>
    </xf>
    <xf numFmtId="2" fontId="102" fillId="0" borderId="13" xfId="0" applyNumberFormat="1" applyFont="1" applyFill="1" applyBorder="1" applyAlignment="1">
      <alignment horizontal="left"/>
    </xf>
    <xf numFmtId="2" fontId="102" fillId="0" borderId="13" xfId="42" applyNumberFormat="1" applyFont="1" applyBorder="1" applyAlignment="1">
      <alignment horizontal="left"/>
    </xf>
    <xf numFmtId="1" fontId="102" fillId="0" borderId="13" xfId="42" applyNumberFormat="1" applyFont="1" applyBorder="1" applyAlignment="1">
      <alignment horizontal="left"/>
    </xf>
    <xf numFmtId="1" fontId="92" fillId="0" borderId="28" xfId="0" applyNumberFormat="1" applyFont="1" applyFill="1" applyBorder="1" applyAlignment="1">
      <alignment horizontal="left"/>
    </xf>
    <xf numFmtId="1" fontId="92" fillId="0" borderId="24" xfId="0" applyNumberFormat="1" applyFont="1" applyFill="1" applyBorder="1" applyAlignment="1">
      <alignment horizontal="left"/>
    </xf>
    <xf numFmtId="1" fontId="7" fillId="0" borderId="13" xfId="0" applyNumberFormat="1" applyFont="1" applyBorder="1" applyAlignment="1">
      <alignment horizontal="left"/>
    </xf>
    <xf numFmtId="1" fontId="7" fillId="0" borderId="12" xfId="0" applyNumberFormat="1" applyFont="1" applyBorder="1" applyAlignment="1">
      <alignment horizontal="left"/>
    </xf>
    <xf numFmtId="1" fontId="99" fillId="0" borderId="12" xfId="0" applyNumberFormat="1" applyFont="1" applyFill="1" applyBorder="1" applyAlignment="1">
      <alignment horizontal="left"/>
    </xf>
    <xf numFmtId="0" fontId="107" fillId="0" borderId="26" xfId="0" applyFont="1" applyBorder="1" applyAlignment="1">
      <alignment horizontal="left"/>
    </xf>
    <xf numFmtId="0" fontId="108" fillId="0" borderId="0" xfId="0" applyFont="1" applyAlignment="1">
      <alignment horizontal="left"/>
    </xf>
    <xf numFmtId="0" fontId="107" fillId="0" borderId="67" xfId="0" applyFont="1" applyBorder="1" applyAlignment="1">
      <alignment horizontal="left"/>
    </xf>
    <xf numFmtId="0" fontId="109" fillId="0" borderId="0" xfId="0" applyFont="1" applyAlignment="1">
      <alignment horizontal="left"/>
    </xf>
    <xf numFmtId="2" fontId="107" fillId="0" borderId="11" xfId="0" applyNumberFormat="1" applyFont="1" applyBorder="1" applyAlignment="1">
      <alignment horizontal="left" vertical="center"/>
    </xf>
    <xf numFmtId="2" fontId="107" fillId="0" borderId="13" xfId="0" applyNumberFormat="1" applyFont="1" applyBorder="1" applyAlignment="1">
      <alignment horizontal="left" vertical="center"/>
    </xf>
    <xf numFmtId="2" fontId="107" fillId="0" borderId="29" xfId="0" applyNumberFormat="1" applyFont="1" applyBorder="1" applyAlignment="1">
      <alignment horizontal="left" vertical="center"/>
    </xf>
    <xf numFmtId="2" fontId="107" fillId="0" borderId="28" xfId="0" applyNumberFormat="1" applyFont="1" applyBorder="1" applyAlignment="1">
      <alignment horizontal="left" vertical="center"/>
    </xf>
    <xf numFmtId="2" fontId="107" fillId="0" borderId="12" xfId="0" applyNumberFormat="1" applyFont="1" applyBorder="1" applyAlignment="1">
      <alignment horizontal="left" vertical="center"/>
    </xf>
    <xf numFmtId="2" fontId="107" fillId="0" borderId="24" xfId="0" applyNumberFormat="1" applyFont="1" applyBorder="1" applyAlignment="1">
      <alignment horizontal="left" vertical="center"/>
    </xf>
    <xf numFmtId="2" fontId="107" fillId="0" borderId="10" xfId="0" applyNumberFormat="1" applyFont="1" applyBorder="1" applyAlignment="1">
      <alignment horizontal="left" vertical="center"/>
    </xf>
    <xf numFmtId="2" fontId="107" fillId="0" borderId="16" xfId="0" applyNumberFormat="1" applyFont="1" applyBorder="1" applyAlignment="1">
      <alignment horizontal="left" vertical="center"/>
    </xf>
    <xf numFmtId="2" fontId="107" fillId="0" borderId="11" xfId="42" applyNumberFormat="1" applyFont="1" applyBorder="1" applyAlignment="1">
      <alignment horizontal="left"/>
    </xf>
    <xf numFmtId="0" fontId="107" fillId="0" borderId="0" xfId="0" applyFont="1" applyAlignment="1">
      <alignment horizontal="left"/>
    </xf>
    <xf numFmtId="2" fontId="107" fillId="0" borderId="23" xfId="0" applyNumberFormat="1" applyFont="1" applyBorder="1" applyAlignment="1">
      <alignment horizontal="left" vertical="center"/>
    </xf>
    <xf numFmtId="2" fontId="107" fillId="0" borderId="20" xfId="0" applyNumberFormat="1" applyFont="1" applyBorder="1" applyAlignment="1">
      <alignment horizontal="left" vertical="center"/>
    </xf>
    <xf numFmtId="2" fontId="107" fillId="0" borderId="65" xfId="0" applyNumberFormat="1" applyFont="1" applyBorder="1" applyAlignment="1">
      <alignment horizontal="left" vertical="center"/>
    </xf>
    <xf numFmtId="2" fontId="107" fillId="0" borderId="69" xfId="0" applyNumberFormat="1" applyFont="1" applyBorder="1" applyAlignment="1">
      <alignment horizontal="left" vertical="center"/>
    </xf>
    <xf numFmtId="2" fontId="107" fillId="0" borderId="21" xfId="0" applyNumberFormat="1" applyFont="1" applyBorder="1" applyAlignment="1">
      <alignment horizontal="left" vertical="center"/>
    </xf>
    <xf numFmtId="2" fontId="107" fillId="0" borderId="66" xfId="0" applyNumberFormat="1" applyFont="1" applyBorder="1" applyAlignment="1">
      <alignment horizontal="left" vertical="center"/>
    </xf>
    <xf numFmtId="2" fontId="107" fillId="0" borderId="22" xfId="0" applyNumberFormat="1" applyFont="1" applyBorder="1" applyAlignment="1">
      <alignment horizontal="left" vertical="center"/>
    </xf>
    <xf numFmtId="2" fontId="107" fillId="0" borderId="23" xfId="42" applyNumberFormat="1" applyFont="1" applyBorder="1" applyAlignment="1">
      <alignment horizontal="left"/>
    </xf>
    <xf numFmtId="0" fontId="110" fillId="0" borderId="0" xfId="0" applyFont="1" applyAlignment="1">
      <alignment horizontal="left"/>
    </xf>
    <xf numFmtId="0" fontId="109" fillId="0" borderId="60" xfId="0" applyFont="1" applyBorder="1" applyAlignment="1">
      <alignment horizontal="left"/>
    </xf>
    <xf numFmtId="2" fontId="107" fillId="0" borderId="59" xfId="0" applyNumberFormat="1" applyFont="1" applyBorder="1" applyAlignment="1">
      <alignment horizontal="left" vertical="center"/>
    </xf>
    <xf numFmtId="2" fontId="107" fillId="0" borderId="72" xfId="0" applyNumberFormat="1" applyFont="1" applyBorder="1" applyAlignment="1">
      <alignment horizontal="left" vertical="center"/>
    </xf>
    <xf numFmtId="2" fontId="107" fillId="0" borderId="55" xfId="0" applyNumberFormat="1" applyFont="1" applyBorder="1" applyAlignment="1">
      <alignment horizontal="left" vertical="center"/>
    </xf>
    <xf numFmtId="2" fontId="107" fillId="0" borderId="73" xfId="0" applyNumberFormat="1" applyFont="1" applyBorder="1" applyAlignment="1">
      <alignment horizontal="left" vertical="center"/>
    </xf>
    <xf numFmtId="2" fontId="111" fillId="0" borderId="59" xfId="0" applyNumberFormat="1" applyFont="1" applyBorder="1" applyAlignment="1">
      <alignment horizontal="left"/>
    </xf>
    <xf numFmtId="2" fontId="111" fillId="0" borderId="55" xfId="42" applyNumberFormat="1" applyFont="1" applyBorder="1" applyAlignment="1">
      <alignment horizontal="left"/>
    </xf>
    <xf numFmtId="2" fontId="111" fillId="0" borderId="55" xfId="0" applyNumberFormat="1" applyFont="1" applyBorder="1" applyAlignment="1">
      <alignment horizontal="left"/>
    </xf>
    <xf numFmtId="2" fontId="111" fillId="0" borderId="60" xfId="0" applyNumberFormat="1" applyFont="1" applyBorder="1" applyAlignment="1">
      <alignment horizontal="left"/>
    </xf>
    <xf numFmtId="0" fontId="112" fillId="0" borderId="0" xfId="0" applyFont="1" applyAlignment="1">
      <alignment horizontal="left"/>
    </xf>
    <xf numFmtId="0" fontId="109" fillId="0" borderId="77" xfId="0" applyFont="1" applyBorder="1" applyAlignment="1">
      <alignment horizontal="left"/>
    </xf>
    <xf numFmtId="2" fontId="107" fillId="0" borderId="78" xfId="0" applyNumberFormat="1" applyFont="1" applyBorder="1" applyAlignment="1">
      <alignment horizontal="left" vertical="center"/>
    </xf>
    <xf numFmtId="2" fontId="107" fillId="0" borderId="79" xfId="0" applyNumberFormat="1" applyFont="1" applyBorder="1" applyAlignment="1">
      <alignment horizontal="left" vertical="center"/>
    </xf>
    <xf numFmtId="2" fontId="107" fillId="0" borderId="80" xfId="0" applyNumberFormat="1" applyFont="1" applyBorder="1" applyAlignment="1">
      <alignment horizontal="left" vertical="center"/>
    </xf>
    <xf numFmtId="2" fontId="107" fillId="0" borderId="81" xfId="0" applyNumberFormat="1" applyFont="1" applyBorder="1" applyAlignment="1">
      <alignment horizontal="left" vertical="center"/>
    </xf>
    <xf numFmtId="2" fontId="111" fillId="0" borderId="78" xfId="0" applyNumberFormat="1" applyFont="1" applyBorder="1" applyAlignment="1">
      <alignment horizontal="left"/>
    </xf>
    <xf numFmtId="2" fontId="111" fillId="0" borderId="80" xfId="0" applyNumberFormat="1" applyFont="1" applyBorder="1" applyAlignment="1">
      <alignment horizontal="left"/>
    </xf>
    <xf numFmtId="2" fontId="111" fillId="0" borderId="77" xfId="0" applyNumberFormat="1" applyFont="1" applyBorder="1" applyAlignment="1">
      <alignment horizontal="left"/>
    </xf>
    <xf numFmtId="0" fontId="102" fillId="0" borderId="0" xfId="0" applyFont="1" applyAlignment="1">
      <alignment/>
    </xf>
    <xf numFmtId="0" fontId="102" fillId="0" borderId="13" xfId="0" applyFont="1" applyBorder="1" applyAlignment="1">
      <alignment/>
    </xf>
    <xf numFmtId="0" fontId="113" fillId="0" borderId="27" xfId="0" applyFont="1" applyBorder="1" applyAlignment="1">
      <alignment horizontal="left"/>
    </xf>
    <xf numFmtId="0" fontId="92" fillId="0" borderId="0" xfId="0" applyFont="1" applyAlignment="1">
      <alignment/>
    </xf>
    <xf numFmtId="0" fontId="100" fillId="0" borderId="0" xfId="0" applyFont="1" applyAlignment="1">
      <alignment horizontal="left"/>
    </xf>
    <xf numFmtId="0" fontId="95" fillId="0" borderId="27" xfId="0" applyFont="1" applyBorder="1" applyAlignment="1">
      <alignment horizontal="left"/>
    </xf>
    <xf numFmtId="0" fontId="97" fillId="0" borderId="62" xfId="0" applyFont="1" applyBorder="1" applyAlignment="1">
      <alignment/>
    </xf>
    <xf numFmtId="0" fontId="97" fillId="0" borderId="29" xfId="0" applyFont="1" applyBorder="1" applyAlignment="1">
      <alignment/>
    </xf>
    <xf numFmtId="0" fontId="97" fillId="0" borderId="65" xfId="0" applyFont="1" applyBorder="1" applyAlignment="1">
      <alignment/>
    </xf>
    <xf numFmtId="0" fontId="93" fillId="0" borderId="29" xfId="0" applyFont="1" applyBorder="1" applyAlignment="1">
      <alignment horizontal="left"/>
    </xf>
    <xf numFmtId="0" fontId="102" fillId="0" borderId="0" xfId="0" applyFont="1" applyFill="1" applyAlignment="1">
      <alignment/>
    </xf>
    <xf numFmtId="0" fontId="97" fillId="0" borderId="49" xfId="0" applyFont="1" applyBorder="1" applyAlignment="1">
      <alignment/>
    </xf>
    <xf numFmtId="0" fontId="97" fillId="0" borderId="10" xfId="0" applyFont="1" applyBorder="1" applyAlignment="1">
      <alignment/>
    </xf>
    <xf numFmtId="0" fontId="95" fillId="0" borderId="54" xfId="0" applyFont="1" applyBorder="1" applyAlignment="1">
      <alignment horizontal="left"/>
    </xf>
    <xf numFmtId="0" fontId="97" fillId="0" borderId="68" xfId="0" applyFont="1" applyBorder="1" applyAlignment="1">
      <alignment/>
    </xf>
    <xf numFmtId="0" fontId="97" fillId="0" borderId="28" xfId="0" applyFont="1" applyBorder="1" applyAlignment="1">
      <alignment/>
    </xf>
    <xf numFmtId="0" fontId="97" fillId="0" borderId="54" xfId="0" applyFont="1" applyBorder="1" applyAlignment="1">
      <alignment/>
    </xf>
    <xf numFmtId="0" fontId="97" fillId="0" borderId="27" xfId="0" applyFont="1" applyBorder="1" applyAlignment="1">
      <alignment/>
    </xf>
    <xf numFmtId="0" fontId="97" fillId="0" borderId="64" xfId="0" applyFont="1" applyBorder="1" applyAlignment="1">
      <alignment/>
    </xf>
    <xf numFmtId="0" fontId="97" fillId="0" borderId="13" xfId="0" applyFont="1" applyBorder="1" applyAlignment="1">
      <alignment/>
    </xf>
    <xf numFmtId="0" fontId="97" fillId="0" borderId="61" xfId="0" applyFont="1" applyBorder="1" applyAlignment="1">
      <alignment/>
    </xf>
    <xf numFmtId="0" fontId="98" fillId="0" borderId="0" xfId="0" applyFont="1" applyAlignment="1">
      <alignment/>
    </xf>
    <xf numFmtId="0" fontId="114" fillId="0" borderId="0" xfId="0" applyFont="1" applyAlignment="1">
      <alignment horizontal="left"/>
    </xf>
    <xf numFmtId="2" fontId="98" fillId="0" borderId="27" xfId="0" applyNumberFormat="1" applyFont="1" applyBorder="1" applyAlignment="1">
      <alignment vertical="center"/>
    </xf>
    <xf numFmtId="2" fontId="99" fillId="0" borderId="27" xfId="0" applyNumberFormat="1" applyFont="1" applyBorder="1" applyAlignment="1">
      <alignment vertical="center"/>
    </xf>
    <xf numFmtId="2" fontId="98" fillId="0" borderId="29" xfId="0" applyNumberFormat="1" applyFont="1" applyBorder="1" applyAlignment="1">
      <alignment horizontal="right"/>
    </xf>
    <xf numFmtId="2" fontId="99" fillId="0" borderId="29" xfId="0" applyNumberFormat="1" applyFont="1" applyBorder="1" applyAlignment="1">
      <alignment horizontal="right"/>
    </xf>
    <xf numFmtId="0" fontId="103" fillId="0" borderId="45" xfId="0" applyFont="1" applyBorder="1" applyAlignment="1">
      <alignment horizontal="left"/>
    </xf>
    <xf numFmtId="0" fontId="103" fillId="0" borderId="71" xfId="0" applyFont="1" applyBorder="1" applyAlignment="1">
      <alignment horizontal="left"/>
    </xf>
    <xf numFmtId="0" fontId="99" fillId="0" borderId="43" xfId="0" applyFont="1" applyBorder="1" applyAlignment="1">
      <alignment vertical="center"/>
    </xf>
    <xf numFmtId="0" fontId="99" fillId="0" borderId="19" xfId="0" applyFont="1" applyBorder="1" applyAlignment="1">
      <alignment horizontal="center" vertical="center"/>
    </xf>
    <xf numFmtId="0" fontId="97" fillId="0" borderId="71" xfId="0" applyFont="1" applyBorder="1" applyAlignment="1">
      <alignment/>
    </xf>
    <xf numFmtId="0" fontId="97" fillId="0" borderId="45" xfId="0" applyFont="1" applyBorder="1" applyAlignment="1">
      <alignment/>
    </xf>
    <xf numFmtId="0" fontId="99" fillId="0" borderId="43" xfId="0" applyFont="1" applyBorder="1" applyAlignment="1">
      <alignment horizontal="center" vertical="center"/>
    </xf>
    <xf numFmtId="2" fontId="98" fillId="0" borderId="27" xfId="0" applyNumberFormat="1" applyFont="1" applyBorder="1" applyAlignment="1">
      <alignment horizontal="right"/>
    </xf>
    <xf numFmtId="2" fontId="99" fillId="0" borderId="27" xfId="0" applyNumberFormat="1" applyFont="1" applyBorder="1" applyAlignment="1">
      <alignment horizontal="right"/>
    </xf>
    <xf numFmtId="0" fontId="91" fillId="0" borderId="19" xfId="0" applyFont="1" applyBorder="1" applyAlignment="1">
      <alignment horizontal="center" vertical="center"/>
    </xf>
    <xf numFmtId="2" fontId="92" fillId="0" borderId="29" xfId="0" applyNumberFormat="1" applyFont="1" applyBorder="1" applyAlignment="1">
      <alignment horizontal="right"/>
    </xf>
    <xf numFmtId="2" fontId="91" fillId="0" borderId="29" xfId="0" applyNumberFormat="1" applyFont="1" applyBorder="1" applyAlignment="1">
      <alignment horizontal="right"/>
    </xf>
    <xf numFmtId="0" fontId="92" fillId="0" borderId="25" xfId="0" applyFont="1" applyBorder="1" applyAlignment="1">
      <alignment horizontal="left"/>
    </xf>
    <xf numFmtId="2" fontId="92" fillId="0" borderId="29" xfId="0" applyNumberFormat="1" applyFont="1" applyBorder="1" applyAlignment="1">
      <alignment horizontal="left"/>
    </xf>
    <xf numFmtId="2" fontId="91" fillId="0" borderId="29" xfId="0" applyNumberFormat="1" applyFont="1" applyBorder="1" applyAlignment="1">
      <alignment horizontal="left"/>
    </xf>
    <xf numFmtId="2" fontId="102" fillId="0" borderId="29" xfId="0" applyNumberFormat="1" applyFont="1" applyBorder="1" applyAlignment="1">
      <alignment horizontal="left"/>
    </xf>
    <xf numFmtId="2" fontId="98" fillId="0" borderId="29" xfId="44" applyNumberFormat="1" applyFont="1" applyBorder="1" applyAlignment="1">
      <alignment horizontal="right"/>
    </xf>
    <xf numFmtId="2" fontId="98" fillId="0" borderId="29" xfId="42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98" fillId="0" borderId="29" xfId="0" applyNumberFormat="1" applyFont="1" applyBorder="1" applyAlignment="1">
      <alignment horizontal="right" wrapText="1"/>
    </xf>
    <xf numFmtId="3" fontId="94" fillId="0" borderId="29" xfId="0" applyNumberFormat="1" applyFont="1" applyBorder="1" applyAlignment="1">
      <alignment horizontal="right"/>
    </xf>
    <xf numFmtId="3" fontId="103" fillId="0" borderId="29" xfId="0" applyNumberFormat="1" applyFont="1" applyBorder="1" applyAlignment="1">
      <alignment horizontal="right"/>
    </xf>
    <xf numFmtId="164" fontId="94" fillId="0" borderId="29" xfId="0" applyNumberFormat="1" applyFont="1" applyBorder="1" applyAlignment="1">
      <alignment horizontal="right"/>
    </xf>
    <xf numFmtId="2" fontId="98" fillId="0" borderId="29" xfId="0" applyNumberFormat="1" applyFont="1" applyFill="1" applyBorder="1" applyAlignment="1">
      <alignment horizontal="right"/>
    </xf>
    <xf numFmtId="1" fontId="115" fillId="0" borderId="0" xfId="0" applyNumberFormat="1" applyFont="1" applyAlignment="1">
      <alignment horizontal="left"/>
    </xf>
    <xf numFmtId="0" fontId="116" fillId="0" borderId="15" xfId="0" applyFont="1" applyBorder="1" applyAlignment="1">
      <alignment horizontal="left"/>
    </xf>
    <xf numFmtId="0" fontId="116" fillId="0" borderId="0" xfId="0" applyFont="1" applyBorder="1" applyAlignment="1">
      <alignment horizontal="left"/>
    </xf>
    <xf numFmtId="0" fontId="116" fillId="0" borderId="25" xfId="0" applyFont="1" applyBorder="1" applyAlignment="1">
      <alignment horizontal="left"/>
    </xf>
    <xf numFmtId="1" fontId="91" fillId="0" borderId="17" xfId="0" applyNumberFormat="1" applyFont="1" applyBorder="1" applyAlignment="1">
      <alignment horizontal="left" vertical="center"/>
    </xf>
    <xf numFmtId="1" fontId="91" fillId="0" borderId="14" xfId="0" applyNumberFormat="1" applyFont="1" applyBorder="1" applyAlignment="1">
      <alignment horizontal="left" vertical="center"/>
    </xf>
    <xf numFmtId="1" fontId="91" fillId="0" borderId="18" xfId="0" applyNumberFormat="1" applyFont="1" applyBorder="1" applyAlignment="1">
      <alignment horizontal="left" vertical="center"/>
    </xf>
    <xf numFmtId="1" fontId="92" fillId="0" borderId="16" xfId="0" applyNumberFormat="1" applyFont="1" applyFill="1" applyBorder="1" applyAlignment="1">
      <alignment horizontal="left" vertical="center" shrinkToFit="1"/>
    </xf>
    <xf numFmtId="1" fontId="92" fillId="0" borderId="14" xfId="0" applyNumberFormat="1" applyFont="1" applyFill="1" applyBorder="1" applyAlignment="1">
      <alignment horizontal="left" vertical="center" shrinkToFit="1"/>
    </xf>
    <xf numFmtId="1" fontId="92" fillId="0" borderId="18" xfId="0" applyNumberFormat="1" applyFont="1" applyFill="1" applyBorder="1" applyAlignment="1">
      <alignment horizontal="left" vertical="center" shrinkToFit="1"/>
    </xf>
    <xf numFmtId="1" fontId="91" fillId="0" borderId="16" xfId="0" applyNumberFormat="1" applyFont="1" applyBorder="1" applyAlignment="1">
      <alignment horizontal="left" vertical="center"/>
    </xf>
    <xf numFmtId="1" fontId="91" fillId="0" borderId="43" xfId="0" applyNumberFormat="1" applyFont="1" applyBorder="1" applyAlignment="1">
      <alignment horizontal="left" vertical="center"/>
    </xf>
    <xf numFmtId="0" fontId="116" fillId="0" borderId="82" xfId="0" applyFont="1" applyBorder="1" applyAlignment="1">
      <alignment horizontal="left"/>
    </xf>
    <xf numFmtId="0" fontId="116" fillId="0" borderId="79" xfId="0" applyFont="1" applyBorder="1" applyAlignment="1">
      <alignment horizontal="left"/>
    </xf>
    <xf numFmtId="0" fontId="116" fillId="0" borderId="81" xfId="0" applyFont="1" applyBorder="1" applyAlignment="1">
      <alignment horizontal="left"/>
    </xf>
    <xf numFmtId="0" fontId="102" fillId="0" borderId="17" xfId="0" applyFont="1" applyBorder="1" applyAlignment="1">
      <alignment/>
    </xf>
    <xf numFmtId="1" fontId="101" fillId="0" borderId="73" xfId="0" applyNumberFormat="1" applyFont="1" applyBorder="1" applyAlignment="1">
      <alignment horizontal="left" vertical="center" wrapText="1"/>
    </xf>
    <xf numFmtId="0" fontId="102" fillId="0" borderId="29" xfId="0" applyFont="1" applyBorder="1" applyAlignment="1">
      <alignment/>
    </xf>
    <xf numFmtId="1" fontId="101" fillId="0" borderId="59" xfId="0" applyNumberFormat="1" applyFont="1" applyFill="1" applyBorder="1" applyAlignment="1">
      <alignment horizontal="left" vertical="center" wrapText="1"/>
    </xf>
    <xf numFmtId="1" fontId="101" fillId="0" borderId="56" xfId="0" applyNumberFormat="1" applyFont="1" applyBorder="1" applyAlignment="1">
      <alignment horizontal="left" vertical="center" wrapText="1"/>
    </xf>
    <xf numFmtId="1" fontId="101" fillId="0" borderId="58" xfId="0" applyNumberFormat="1" applyFont="1" applyBorder="1" applyAlignment="1">
      <alignment horizontal="left" vertical="center" wrapText="1"/>
    </xf>
    <xf numFmtId="1" fontId="101" fillId="0" borderId="73" xfId="0" applyNumberFormat="1" applyFont="1" applyBorder="1" applyAlignment="1">
      <alignment horizontal="left" vertical="justify" wrapText="1"/>
    </xf>
    <xf numFmtId="0" fontId="102" fillId="0" borderId="0" xfId="0" applyFont="1" applyBorder="1" applyAlignment="1">
      <alignment/>
    </xf>
    <xf numFmtId="0" fontId="102" fillId="0" borderId="32" xfId="0" applyFont="1" applyBorder="1" applyAlignment="1">
      <alignment/>
    </xf>
    <xf numFmtId="0" fontId="101" fillId="0" borderId="73" xfId="0" applyFont="1" applyFill="1" applyBorder="1" applyAlignment="1">
      <alignment horizontal="left" vertical="center" wrapText="1"/>
    </xf>
    <xf numFmtId="0" fontId="102" fillId="0" borderId="19" xfId="0" applyFont="1" applyBorder="1" applyAlignment="1">
      <alignment/>
    </xf>
    <xf numFmtId="1" fontId="100" fillId="0" borderId="27" xfId="0" applyNumberFormat="1" applyFont="1" applyBorder="1" applyAlignment="1">
      <alignment horizontal="left"/>
    </xf>
    <xf numFmtId="1" fontId="95" fillId="0" borderId="27" xfId="0" applyNumberFormat="1" applyFont="1" applyBorder="1" applyAlignment="1">
      <alignment horizontal="left"/>
    </xf>
    <xf numFmtId="1" fontId="95" fillId="0" borderId="61" xfId="0" applyNumberFormat="1" applyFont="1" applyBorder="1" applyAlignment="1">
      <alignment horizontal="left"/>
    </xf>
    <xf numFmtId="1" fontId="101" fillId="0" borderId="72" xfId="0" applyNumberFormat="1" applyFont="1" applyFill="1" applyBorder="1" applyAlignment="1">
      <alignment horizontal="center" vertical="center" wrapText="1"/>
    </xf>
    <xf numFmtId="1" fontId="101" fillId="0" borderId="73" xfId="0" applyNumberFormat="1" applyFont="1" applyFill="1" applyBorder="1" applyAlignment="1">
      <alignment horizontal="center" vertical="center" wrapText="1"/>
    </xf>
    <xf numFmtId="0" fontId="116" fillId="0" borderId="39" xfId="0" applyFont="1" applyBorder="1" applyAlignment="1">
      <alignment horizontal="left"/>
    </xf>
    <xf numFmtId="0" fontId="117" fillId="0" borderId="0" xfId="0" applyFont="1" applyAlignment="1">
      <alignment/>
    </xf>
    <xf numFmtId="0" fontId="116" fillId="0" borderId="37" xfId="0" applyFont="1" applyBorder="1" applyAlignment="1">
      <alignment horizontal="left"/>
    </xf>
    <xf numFmtId="0" fontId="116" fillId="0" borderId="38" xfId="0" applyFont="1" applyBorder="1" applyAlignment="1">
      <alignment horizontal="left"/>
    </xf>
    <xf numFmtId="0" fontId="118" fillId="0" borderId="0" xfId="0" applyFont="1" applyAlignment="1">
      <alignment/>
    </xf>
    <xf numFmtId="0" fontId="119" fillId="0" borderId="61" xfId="0" applyFont="1" applyBorder="1" applyAlignment="1">
      <alignment horizontal="left"/>
    </xf>
    <xf numFmtId="1" fontId="119" fillId="0" borderId="23" xfId="0" applyNumberFormat="1" applyFont="1" applyBorder="1" applyAlignment="1">
      <alignment horizontal="left" vertical="center"/>
    </xf>
    <xf numFmtId="1" fontId="119" fillId="0" borderId="21" xfId="0" applyNumberFormat="1" applyFont="1" applyBorder="1" applyAlignment="1">
      <alignment horizontal="left" vertical="center"/>
    </xf>
    <xf numFmtId="1" fontId="119" fillId="0" borderId="22" xfId="0" applyNumberFormat="1" applyFont="1" applyBorder="1" applyAlignment="1">
      <alignment horizontal="left" vertical="center"/>
    </xf>
    <xf numFmtId="1" fontId="119" fillId="0" borderId="20" xfId="0" applyNumberFormat="1" applyFont="1" applyBorder="1" applyAlignment="1">
      <alignment horizontal="left" vertical="center"/>
    </xf>
    <xf numFmtId="1" fontId="119" fillId="0" borderId="69" xfId="0" applyNumberFormat="1" applyFont="1" applyBorder="1" applyAlignment="1">
      <alignment horizontal="left" vertical="center"/>
    </xf>
    <xf numFmtId="1" fontId="119" fillId="0" borderId="65" xfId="0" applyNumberFormat="1" applyFont="1" applyBorder="1" applyAlignment="1">
      <alignment horizontal="left" vertical="center"/>
    </xf>
    <xf numFmtId="1" fontId="119" fillId="0" borderId="20" xfId="0" applyNumberFormat="1" applyFont="1" applyBorder="1" applyAlignment="1">
      <alignment horizontal="left"/>
    </xf>
    <xf numFmtId="1" fontId="119" fillId="0" borderId="23" xfId="0" applyNumberFormat="1" applyFont="1" applyBorder="1" applyAlignment="1">
      <alignment horizontal="left"/>
    </xf>
    <xf numFmtId="1" fontId="119" fillId="0" borderId="61" xfId="0" applyNumberFormat="1" applyFont="1" applyBorder="1" applyAlignment="1">
      <alignment horizontal="left"/>
    </xf>
    <xf numFmtId="2" fontId="119" fillId="0" borderId="20" xfId="0" applyNumberFormat="1" applyFont="1" applyBorder="1" applyAlignment="1">
      <alignment horizontal="left"/>
    </xf>
    <xf numFmtId="2" fontId="119" fillId="0" borderId="23" xfId="0" applyNumberFormat="1" applyFont="1" applyBorder="1" applyAlignment="1">
      <alignment horizontal="left"/>
    </xf>
    <xf numFmtId="2" fontId="119" fillId="0" borderId="61" xfId="0" applyNumberFormat="1" applyFont="1" applyBorder="1" applyAlignment="1">
      <alignment horizontal="left"/>
    </xf>
    <xf numFmtId="1" fontId="119" fillId="0" borderId="20" xfId="0" applyNumberFormat="1" applyFont="1" applyFill="1" applyBorder="1" applyAlignment="1">
      <alignment horizontal="left"/>
    </xf>
    <xf numFmtId="1" fontId="119" fillId="0" borderId="21" xfId="0" applyNumberFormat="1" applyFont="1" applyFill="1" applyBorder="1" applyAlignment="1">
      <alignment horizontal="left"/>
    </xf>
    <xf numFmtId="1" fontId="119" fillId="0" borderId="20" xfId="42" applyNumberFormat="1" applyFont="1" applyBorder="1" applyAlignment="1">
      <alignment horizontal="left"/>
    </xf>
    <xf numFmtId="1" fontId="119" fillId="0" borderId="23" xfId="42" applyNumberFormat="1" applyFont="1" applyBorder="1" applyAlignment="1">
      <alignment horizontal="left"/>
    </xf>
    <xf numFmtId="1" fontId="119" fillId="0" borderId="21" xfId="42" applyNumberFormat="1" applyFont="1" applyBorder="1" applyAlignment="1">
      <alignment horizontal="left"/>
    </xf>
    <xf numFmtId="1" fontId="119" fillId="0" borderId="22" xfId="42" applyNumberFormat="1" applyFont="1" applyBorder="1" applyAlignment="1">
      <alignment horizontal="left"/>
    </xf>
    <xf numFmtId="0" fontId="119" fillId="0" borderId="0" xfId="0" applyFont="1" applyAlignment="1">
      <alignment horizontal="left"/>
    </xf>
    <xf numFmtId="1" fontId="120" fillId="0" borderId="0" xfId="0" applyNumberFormat="1" applyFont="1" applyAlignment="1">
      <alignment/>
    </xf>
    <xf numFmtId="1" fontId="102" fillId="0" borderId="0" xfId="0" applyNumberFormat="1" applyFont="1" applyFill="1" applyBorder="1" applyAlignment="1">
      <alignment horizontal="left"/>
    </xf>
    <xf numFmtId="1" fontId="102" fillId="0" borderId="13" xfId="44" applyNumberFormat="1" applyFont="1" applyBorder="1" applyAlignment="1">
      <alignment horizontal="left"/>
    </xf>
    <xf numFmtId="1" fontId="102" fillId="0" borderId="11" xfId="0" applyNumberFormat="1" applyFont="1" applyBorder="1" applyAlignment="1">
      <alignment horizontal="left" wrapText="1"/>
    </xf>
    <xf numFmtId="1" fontId="102" fillId="0" borderId="11" xfId="0" applyNumberFormat="1" applyFont="1" applyFill="1" applyBorder="1" applyAlignment="1">
      <alignment horizontal="left"/>
    </xf>
    <xf numFmtId="1" fontId="101" fillId="0" borderId="45" xfId="0" applyNumberFormat="1" applyFont="1" applyBorder="1" applyAlignment="1">
      <alignment horizontal="left" vertical="center"/>
    </xf>
    <xf numFmtId="1" fontId="103" fillId="0" borderId="11" xfId="0" applyNumberFormat="1" applyFont="1" applyBorder="1" applyAlignment="1">
      <alignment horizontal="left"/>
    </xf>
    <xf numFmtId="1" fontId="101" fillId="0" borderId="11" xfId="42" applyNumberFormat="1" applyFont="1" applyBorder="1" applyAlignment="1">
      <alignment horizontal="left"/>
    </xf>
    <xf numFmtId="1" fontId="101" fillId="0" borderId="13" xfId="42" applyNumberFormat="1" applyFont="1" applyBorder="1" applyAlignment="1">
      <alignment horizontal="left"/>
    </xf>
    <xf numFmtId="1" fontId="101" fillId="0" borderId="0" xfId="0" applyNumberFormat="1" applyFont="1" applyAlignment="1">
      <alignment horizontal="left"/>
    </xf>
    <xf numFmtId="1" fontId="101" fillId="0" borderId="12" xfId="0" applyNumberFormat="1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1" fontId="101" fillId="0" borderId="27" xfId="0" applyNumberFormat="1" applyFont="1" applyBorder="1" applyAlignment="1">
      <alignment horizontal="left" vertical="center"/>
    </xf>
    <xf numFmtId="1" fontId="102" fillId="0" borderId="30" xfId="0" applyNumberFormat="1" applyFont="1" applyBorder="1" applyAlignment="1">
      <alignment horizontal="left" vertical="center"/>
    </xf>
    <xf numFmtId="1" fontId="102" fillId="0" borderId="32" xfId="0" applyNumberFormat="1" applyFont="1" applyBorder="1" applyAlignment="1">
      <alignment horizontal="left" vertical="center"/>
    </xf>
    <xf numFmtId="1" fontId="102" fillId="0" borderId="32" xfId="44" applyNumberFormat="1" applyFont="1" applyBorder="1" applyAlignment="1">
      <alignment horizontal="left"/>
    </xf>
    <xf numFmtId="1" fontId="102" fillId="0" borderId="31" xfId="44" applyNumberFormat="1" applyFont="1" applyBorder="1" applyAlignment="1">
      <alignment horizontal="left"/>
    </xf>
    <xf numFmtId="1" fontId="102" fillId="0" borderId="30" xfId="0" applyNumberFormat="1" applyFont="1" applyBorder="1" applyAlignment="1">
      <alignment horizontal="left" wrapText="1"/>
    </xf>
    <xf numFmtId="1" fontId="94" fillId="0" borderId="30" xfId="0" applyNumberFormat="1" applyFont="1" applyBorder="1" applyAlignment="1">
      <alignment horizontal="left"/>
    </xf>
    <xf numFmtId="1" fontId="94" fillId="0" borderId="31" xfId="0" applyNumberFormat="1" applyFont="1" applyBorder="1" applyAlignment="1">
      <alignment horizontal="left"/>
    </xf>
    <xf numFmtId="1" fontId="94" fillId="0" borderId="34" xfId="0" applyNumberFormat="1" applyFont="1" applyBorder="1" applyAlignment="1">
      <alignment horizontal="left"/>
    </xf>
    <xf numFmtId="1" fontId="102" fillId="0" borderId="30" xfId="0" applyNumberFormat="1" applyFont="1" applyFill="1" applyBorder="1" applyAlignment="1">
      <alignment horizontal="left"/>
    </xf>
    <xf numFmtId="1" fontId="119" fillId="0" borderId="0" xfId="0" applyNumberFormat="1" applyFont="1" applyAlignment="1">
      <alignment horizontal="left"/>
    </xf>
    <xf numFmtId="1" fontId="101" fillId="0" borderId="42" xfId="0" applyNumberFormat="1" applyFont="1" applyBorder="1" applyAlignment="1">
      <alignment horizontal="left"/>
    </xf>
    <xf numFmtId="1" fontId="119" fillId="0" borderId="80" xfId="0" applyNumberFormat="1" applyFont="1" applyBorder="1" applyAlignment="1">
      <alignment horizontal="left" vertical="center"/>
    </xf>
    <xf numFmtId="1" fontId="119" fillId="0" borderId="82" xfId="0" applyNumberFormat="1" applyFont="1" applyBorder="1" applyAlignment="1">
      <alignment horizontal="left" vertical="center"/>
    </xf>
    <xf numFmtId="1" fontId="119" fillId="0" borderId="77" xfId="0" applyNumberFormat="1" applyFont="1" applyBorder="1" applyAlignment="1">
      <alignment horizontal="left" vertical="center"/>
    </xf>
    <xf numFmtId="1" fontId="119" fillId="0" borderId="78" xfId="0" applyNumberFormat="1" applyFont="1" applyBorder="1" applyAlignment="1">
      <alignment horizontal="left" vertical="center"/>
    </xf>
    <xf numFmtId="1" fontId="119" fillId="0" borderId="83" xfId="0" applyNumberFormat="1" applyFont="1" applyBorder="1" applyAlignment="1">
      <alignment horizontal="left"/>
    </xf>
    <xf numFmtId="1" fontId="119" fillId="0" borderId="84" xfId="0" applyNumberFormat="1" applyFont="1" applyBorder="1" applyAlignment="1">
      <alignment horizontal="left"/>
    </xf>
    <xf numFmtId="1" fontId="119" fillId="0" borderId="80" xfId="0" applyNumberFormat="1" applyFont="1" applyBorder="1" applyAlignment="1">
      <alignment horizontal="left"/>
    </xf>
    <xf numFmtId="1" fontId="119" fillId="0" borderId="78" xfId="0" applyNumberFormat="1" applyFont="1" applyBorder="1" applyAlignment="1">
      <alignment horizontal="left"/>
    </xf>
    <xf numFmtId="1" fontId="119" fillId="0" borderId="79" xfId="0" applyNumberFormat="1" applyFont="1" applyBorder="1" applyAlignment="1">
      <alignment horizontal="left"/>
    </xf>
    <xf numFmtId="1" fontId="119" fillId="0" borderId="80" xfId="42" applyNumberFormat="1" applyFont="1" applyBorder="1" applyAlignment="1">
      <alignment horizontal="left"/>
    </xf>
    <xf numFmtId="1" fontId="119" fillId="0" borderId="78" xfId="42" applyNumberFormat="1" applyFont="1" applyBorder="1" applyAlignment="1">
      <alignment horizontal="left"/>
    </xf>
    <xf numFmtId="1" fontId="119" fillId="0" borderId="77" xfId="0" applyNumberFormat="1" applyFont="1" applyBorder="1" applyAlignment="1">
      <alignment horizontal="left"/>
    </xf>
    <xf numFmtId="1" fontId="116" fillId="0" borderId="82" xfId="0" applyNumberFormat="1" applyFont="1" applyBorder="1" applyAlignment="1">
      <alignment horizontal="left"/>
    </xf>
    <xf numFmtId="1" fontId="121" fillId="0" borderId="0" xfId="0" applyNumberFormat="1" applyFont="1" applyAlignment="1">
      <alignment horizontal="left"/>
    </xf>
    <xf numFmtId="1" fontId="120" fillId="0" borderId="0" xfId="0" applyNumberFormat="1" applyFont="1" applyAlignment="1">
      <alignment horizontal="left"/>
    </xf>
    <xf numFmtId="1" fontId="98" fillId="0" borderId="24" xfId="42" applyNumberFormat="1" applyFont="1" applyBorder="1" applyAlignment="1">
      <alignment horizontal="left"/>
    </xf>
    <xf numFmtId="0" fontId="119" fillId="0" borderId="77" xfId="0" applyFont="1" applyBorder="1" applyAlignment="1">
      <alignment horizontal="left"/>
    </xf>
    <xf numFmtId="1" fontId="119" fillId="0" borderId="83" xfId="0" applyNumberFormat="1" applyFont="1" applyBorder="1" applyAlignment="1">
      <alignment horizontal="left" vertical="center"/>
    </xf>
    <xf numFmtId="1" fontId="119" fillId="0" borderId="81" xfId="0" applyNumberFormat="1" applyFont="1" applyBorder="1" applyAlignment="1">
      <alignment horizontal="left"/>
    </xf>
    <xf numFmtId="0" fontId="120" fillId="0" borderId="0" xfId="0" applyFont="1" applyAlignment="1">
      <alignment horizontal="left"/>
    </xf>
    <xf numFmtId="2" fontId="120" fillId="0" borderId="82" xfId="0" applyNumberFormat="1" applyFont="1" applyBorder="1" applyAlignment="1">
      <alignment horizontal="left"/>
    </xf>
    <xf numFmtId="2" fontId="120" fillId="0" borderId="79" xfId="0" applyNumberFormat="1" applyFont="1" applyBorder="1" applyAlignment="1">
      <alignment horizontal="left"/>
    </xf>
    <xf numFmtId="2" fontId="120" fillId="0" borderId="81" xfId="0" applyNumberFormat="1" applyFont="1" applyBorder="1" applyAlignment="1">
      <alignment horizontal="left"/>
    </xf>
    <xf numFmtId="1" fontId="120" fillId="0" borderId="81" xfId="0" applyNumberFormat="1" applyFont="1" applyBorder="1" applyAlignment="1">
      <alignment horizontal="left"/>
    </xf>
    <xf numFmtId="1" fontId="120" fillId="0" borderId="79" xfId="0" applyNumberFormat="1" applyFont="1" applyBorder="1" applyAlignment="1">
      <alignment horizontal="left"/>
    </xf>
    <xf numFmtId="1" fontId="120" fillId="0" borderId="82" xfId="0" applyNumberFormat="1" applyFont="1" applyBorder="1" applyAlignment="1">
      <alignment horizontal="left"/>
    </xf>
    <xf numFmtId="2" fontId="120" fillId="0" borderId="80" xfId="0" applyNumberFormat="1" applyFont="1" applyBorder="1" applyAlignment="1">
      <alignment horizontal="left"/>
    </xf>
    <xf numFmtId="2" fontId="120" fillId="0" borderId="85" xfId="0" applyNumberFormat="1" applyFont="1" applyBorder="1" applyAlignment="1">
      <alignment horizontal="left"/>
    </xf>
    <xf numFmtId="2" fontId="120" fillId="0" borderId="78" xfId="0" applyNumberFormat="1" applyFont="1" applyBorder="1" applyAlignment="1">
      <alignment horizontal="left"/>
    </xf>
    <xf numFmtId="2" fontId="120" fillId="0" borderId="83" xfId="0" applyNumberFormat="1" applyFont="1" applyBorder="1" applyAlignment="1">
      <alignment horizontal="left"/>
    </xf>
    <xf numFmtId="1" fontId="122" fillId="0" borderId="70" xfId="0" applyNumberFormat="1" applyFont="1" applyBorder="1" applyAlignment="1">
      <alignment horizontal="justify" vertical="justify" wrapText="1"/>
    </xf>
    <xf numFmtId="1" fontId="117" fillId="0" borderId="0" xfId="0" applyNumberFormat="1" applyFont="1" applyAlignment="1">
      <alignment horizontal="justify" vertical="justify" wrapText="1"/>
    </xf>
    <xf numFmtId="0" fontId="119" fillId="0" borderId="81" xfId="0" applyFont="1" applyBorder="1" applyAlignment="1">
      <alignment horizontal="left"/>
    </xf>
    <xf numFmtId="0" fontId="120" fillId="0" borderId="0" xfId="0" applyFont="1" applyAlignment="1">
      <alignment/>
    </xf>
    <xf numFmtId="0" fontId="116" fillId="0" borderId="61" xfId="0" applyFont="1" applyBorder="1" applyAlignment="1">
      <alignment horizontal="left"/>
    </xf>
    <xf numFmtId="0" fontId="117" fillId="0" borderId="65" xfId="0" applyFont="1" applyBorder="1" applyAlignment="1">
      <alignment/>
    </xf>
    <xf numFmtId="0" fontId="117" fillId="0" borderId="69" xfId="0" applyFont="1" applyBorder="1" applyAlignment="1">
      <alignment/>
    </xf>
    <xf numFmtId="0" fontId="117" fillId="0" borderId="61" xfId="0" applyFont="1" applyBorder="1" applyAlignment="1">
      <alignment/>
    </xf>
    <xf numFmtId="0" fontId="115" fillId="0" borderId="65" xfId="0" applyFont="1" applyBorder="1" applyAlignment="1">
      <alignment horizontal="left"/>
    </xf>
    <xf numFmtId="0" fontId="115" fillId="0" borderId="22" xfId="0" applyFont="1" applyBorder="1" applyAlignment="1">
      <alignment horizontal="left"/>
    </xf>
    <xf numFmtId="0" fontId="115" fillId="0" borderId="66" xfId="0" applyFont="1" applyBorder="1" applyAlignment="1">
      <alignment horizontal="left"/>
    </xf>
    <xf numFmtId="0" fontId="115" fillId="0" borderId="0" xfId="0" applyFont="1" applyAlignment="1">
      <alignment horizontal="left"/>
    </xf>
    <xf numFmtId="0" fontId="119" fillId="0" borderId="79" xfId="0" applyFont="1" applyBorder="1" applyAlignment="1">
      <alignment horizontal="left"/>
    </xf>
    <xf numFmtId="0" fontId="119" fillId="0" borderId="45" xfId="0" applyFont="1" applyBorder="1" applyAlignment="1">
      <alignment horizontal="left"/>
    </xf>
    <xf numFmtId="0" fontId="95" fillId="0" borderId="45" xfId="0" applyFont="1" applyBorder="1" applyAlignment="1">
      <alignment horizontal="left"/>
    </xf>
    <xf numFmtId="0" fontId="97" fillId="0" borderId="36" xfId="0" applyFont="1" applyBorder="1" applyAlignment="1">
      <alignment/>
    </xf>
    <xf numFmtId="0" fontId="100" fillId="0" borderId="86" xfId="0" applyFont="1" applyBorder="1" applyAlignment="1">
      <alignment horizontal="left"/>
    </xf>
    <xf numFmtId="0" fontId="100" fillId="0" borderId="45" xfId="0" applyFont="1" applyBorder="1" applyAlignment="1">
      <alignment horizontal="left"/>
    </xf>
    <xf numFmtId="164" fontId="95" fillId="0" borderId="70" xfId="0" applyNumberFormat="1" applyFont="1" applyBorder="1" applyAlignment="1">
      <alignment horizontal="left"/>
    </xf>
    <xf numFmtId="0" fontId="97" fillId="0" borderId="42" xfId="0" applyFont="1" applyBorder="1" applyAlignment="1">
      <alignment/>
    </xf>
    <xf numFmtId="0" fontId="115" fillId="0" borderId="77" xfId="0" applyFont="1" applyBorder="1" applyAlignment="1">
      <alignment horizontal="left" vertical="justify" wrapText="1"/>
    </xf>
    <xf numFmtId="0" fontId="116" fillId="0" borderId="82" xfId="0" applyFont="1" applyFill="1" applyBorder="1" applyAlignment="1">
      <alignment horizontal="left" vertical="justify" wrapText="1"/>
    </xf>
    <xf numFmtId="0" fontId="115" fillId="0" borderId="0" xfId="0" applyFont="1" applyAlignment="1">
      <alignment horizontal="left" vertical="justify" wrapText="1"/>
    </xf>
    <xf numFmtId="2" fontId="116" fillId="0" borderId="77" xfId="0" applyNumberFormat="1" applyFont="1" applyBorder="1" applyAlignment="1">
      <alignment horizontal="left"/>
    </xf>
    <xf numFmtId="2" fontId="116" fillId="0" borderId="82" xfId="0" applyNumberFormat="1" applyFont="1" applyBorder="1" applyAlignment="1">
      <alignment horizontal="left" vertical="center"/>
    </xf>
    <xf numFmtId="2" fontId="116" fillId="0" borderId="82" xfId="0" applyNumberFormat="1" applyFont="1" applyBorder="1" applyAlignment="1">
      <alignment horizontal="left"/>
    </xf>
    <xf numFmtId="2" fontId="116" fillId="0" borderId="82" xfId="44" applyNumberFormat="1" applyFont="1" applyBorder="1" applyAlignment="1">
      <alignment horizontal="left"/>
    </xf>
    <xf numFmtId="2" fontId="116" fillId="0" borderId="82" xfId="0" applyNumberFormat="1" applyFont="1" applyBorder="1" applyAlignment="1">
      <alignment horizontal="left" wrapText="1"/>
    </xf>
    <xf numFmtId="2" fontId="116" fillId="0" borderId="82" xfId="0" applyNumberFormat="1" applyFont="1" applyFill="1" applyBorder="1" applyAlignment="1">
      <alignment horizontal="left"/>
    </xf>
    <xf numFmtId="2" fontId="116" fillId="0" borderId="77" xfId="42" applyNumberFormat="1" applyFont="1" applyBorder="1" applyAlignment="1">
      <alignment horizontal="left"/>
    </xf>
    <xf numFmtId="2" fontId="116" fillId="0" borderId="81" xfId="0" applyNumberFormat="1" applyFont="1" applyBorder="1" applyAlignment="1">
      <alignment horizontal="left"/>
    </xf>
    <xf numFmtId="2" fontId="11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116" fillId="0" borderId="55" xfId="0" applyFont="1" applyBorder="1" applyAlignment="1">
      <alignment horizontal="center" vertical="justify" wrapText="1"/>
    </xf>
    <xf numFmtId="0" fontId="116" fillId="0" borderId="72" xfId="0" applyFont="1" applyBorder="1" applyAlignment="1">
      <alignment horizontal="center" vertical="justify" wrapText="1"/>
    </xf>
    <xf numFmtId="0" fontId="116" fillId="0" borderId="60" xfId="0" applyFont="1" applyBorder="1" applyAlignment="1">
      <alignment horizontal="center" vertical="justify" wrapText="1"/>
    </xf>
    <xf numFmtId="0" fontId="116" fillId="0" borderId="77" xfId="0" applyFont="1" applyBorder="1" applyAlignment="1">
      <alignment horizontal="center" vertical="justify" wrapText="1"/>
    </xf>
    <xf numFmtId="0" fontId="116" fillId="0" borderId="80" xfId="0" applyFont="1" applyBorder="1" applyAlignment="1">
      <alignment horizontal="center" vertical="justify" wrapText="1"/>
    </xf>
    <xf numFmtId="0" fontId="116" fillId="0" borderId="79" xfId="0" applyFont="1" applyBorder="1" applyAlignment="1">
      <alignment horizontal="center" vertical="justify" wrapText="1"/>
    </xf>
    <xf numFmtId="0" fontId="116" fillId="0" borderId="81" xfId="0" applyFont="1" applyBorder="1" applyAlignment="1">
      <alignment horizontal="center" vertical="justify" wrapText="1"/>
    </xf>
    <xf numFmtId="0" fontId="116" fillId="0" borderId="78" xfId="0" applyFont="1" applyBorder="1" applyAlignment="1">
      <alignment horizontal="center" vertical="justify" wrapText="1"/>
    </xf>
    <xf numFmtId="0" fontId="115" fillId="0" borderId="0" xfId="0" applyFont="1" applyAlignment="1">
      <alignment horizontal="center" vertical="justify" wrapText="1"/>
    </xf>
    <xf numFmtId="1" fontId="116" fillId="0" borderId="83" xfId="0" applyNumberFormat="1" applyFont="1" applyBorder="1" applyAlignment="1">
      <alignment horizontal="left"/>
    </xf>
    <xf numFmtId="1" fontId="116" fillId="0" borderId="85" xfId="0" applyNumberFormat="1" applyFont="1" applyBorder="1" applyAlignment="1">
      <alignment horizontal="left"/>
    </xf>
    <xf numFmtId="1" fontId="116" fillId="0" borderId="81" xfId="0" applyNumberFormat="1" applyFont="1" applyBorder="1" applyAlignment="1">
      <alignment horizontal="left"/>
    </xf>
    <xf numFmtId="1" fontId="116" fillId="0" borderId="79" xfId="0" applyNumberFormat="1" applyFont="1" applyBorder="1" applyAlignment="1">
      <alignment horizontal="left"/>
    </xf>
    <xf numFmtId="1" fontId="117" fillId="0" borderId="0" xfId="0" applyNumberFormat="1" applyFont="1" applyAlignment="1">
      <alignment/>
    </xf>
    <xf numFmtId="1" fontId="119" fillId="0" borderId="55" xfId="0" applyNumberFormat="1" applyFont="1" applyBorder="1" applyAlignment="1">
      <alignment horizontal="left"/>
    </xf>
    <xf numFmtId="1" fontId="119" fillId="0" borderId="56" xfId="0" applyNumberFormat="1" applyFont="1" applyBorder="1" applyAlignment="1">
      <alignment horizontal="left"/>
    </xf>
    <xf numFmtId="1" fontId="119" fillId="0" borderId="58" xfId="0" applyNumberFormat="1" applyFont="1" applyBorder="1" applyAlignment="1">
      <alignment horizontal="left"/>
    </xf>
    <xf numFmtId="1" fontId="102" fillId="0" borderId="83" xfId="0" applyNumberFormat="1" applyFont="1" applyBorder="1" applyAlignment="1">
      <alignment horizontal="left"/>
    </xf>
    <xf numFmtId="1" fontId="102" fillId="0" borderId="85" xfId="0" applyNumberFormat="1" applyFont="1" applyBorder="1" applyAlignment="1">
      <alignment horizontal="left"/>
    </xf>
    <xf numFmtId="1" fontId="102" fillId="0" borderId="55" xfId="0" applyNumberFormat="1" applyFont="1" applyBorder="1" applyAlignment="1">
      <alignment horizontal="left"/>
    </xf>
    <xf numFmtId="1" fontId="102" fillId="0" borderId="56" xfId="0" applyNumberFormat="1" applyFont="1" applyBorder="1" applyAlignment="1">
      <alignment horizontal="left"/>
    </xf>
    <xf numFmtId="1" fontId="102" fillId="0" borderId="58" xfId="0" applyNumberFormat="1" applyFont="1" applyBorder="1" applyAlignment="1">
      <alignment horizontal="left"/>
    </xf>
    <xf numFmtId="1" fontId="120" fillId="0" borderId="80" xfId="0" applyNumberFormat="1" applyFont="1" applyBorder="1" applyAlignment="1">
      <alignment horizontal="left"/>
    </xf>
    <xf numFmtId="1" fontId="120" fillId="0" borderId="83" xfId="0" applyNumberFormat="1" applyFont="1" applyBorder="1" applyAlignment="1">
      <alignment horizontal="left"/>
    </xf>
    <xf numFmtId="1" fontId="120" fillId="0" borderId="85" xfId="0" applyNumberFormat="1" applyFont="1" applyBorder="1" applyAlignment="1">
      <alignment horizontal="left"/>
    </xf>
    <xf numFmtId="1" fontId="119" fillId="0" borderId="59" xfId="0" applyNumberFormat="1" applyFont="1" applyBorder="1" applyAlignment="1">
      <alignment horizontal="left" vertical="center"/>
    </xf>
    <xf numFmtId="1" fontId="119" fillId="0" borderId="85" xfId="0" applyNumberFormat="1" applyFont="1" applyBorder="1" applyAlignment="1">
      <alignment horizontal="left" vertical="center"/>
    </xf>
    <xf numFmtId="1" fontId="102" fillId="0" borderId="51" xfId="0" applyNumberFormat="1" applyFont="1" applyBorder="1" applyAlignment="1">
      <alignment horizontal="left"/>
    </xf>
    <xf numFmtId="1" fontId="102" fillId="0" borderId="74" xfId="0" applyNumberFormat="1" applyFont="1" applyBorder="1" applyAlignment="1">
      <alignment horizontal="left"/>
    </xf>
    <xf numFmtId="1" fontId="102" fillId="0" borderId="50" xfId="0" applyNumberFormat="1" applyFont="1" applyBorder="1" applyAlignment="1">
      <alignment horizontal="left"/>
    </xf>
    <xf numFmtId="1" fontId="102" fillId="0" borderId="78" xfId="0" applyNumberFormat="1" applyFont="1" applyBorder="1" applyAlignment="1">
      <alignment horizontal="left"/>
    </xf>
    <xf numFmtId="1" fontId="120" fillId="0" borderId="78" xfId="0" applyNumberFormat="1" applyFont="1" applyBorder="1" applyAlignment="1">
      <alignment horizontal="left"/>
    </xf>
    <xf numFmtId="1" fontId="119" fillId="0" borderId="56" xfId="0" applyNumberFormat="1" applyFont="1" applyBorder="1" applyAlignment="1">
      <alignment horizontal="left" vertical="center"/>
    </xf>
    <xf numFmtId="1" fontId="119" fillId="0" borderId="58" xfId="0" applyNumberFormat="1" applyFont="1" applyBorder="1" applyAlignment="1">
      <alignment horizontal="left" vertical="center"/>
    </xf>
    <xf numFmtId="0" fontId="102" fillId="0" borderId="80" xfId="0" applyFont="1" applyBorder="1" applyAlignment="1">
      <alignment horizontal="left"/>
    </xf>
    <xf numFmtId="0" fontId="102" fillId="0" borderId="83" xfId="0" applyFont="1" applyBorder="1" applyAlignment="1">
      <alignment horizontal="left"/>
    </xf>
    <xf numFmtId="2" fontId="102" fillId="0" borderId="75" xfId="0" applyNumberFormat="1" applyFont="1" applyBorder="1" applyAlignment="1">
      <alignment horizontal="left"/>
    </xf>
    <xf numFmtId="2" fontId="102" fillId="0" borderId="51" xfId="0" applyNumberFormat="1" applyFont="1" applyBorder="1" applyAlignment="1">
      <alignment horizontal="left"/>
    </xf>
    <xf numFmtId="2" fontId="120" fillId="0" borderId="40" xfId="0" applyNumberFormat="1" applyFont="1" applyBorder="1" applyAlignment="1">
      <alignment horizontal="left"/>
    </xf>
    <xf numFmtId="2" fontId="120" fillId="0" borderId="52" xfId="0" applyNumberFormat="1" applyFont="1" applyBorder="1" applyAlignment="1">
      <alignment horizontal="left"/>
    </xf>
    <xf numFmtId="1" fontId="120" fillId="0" borderId="53" xfId="0" applyNumberFormat="1" applyFont="1" applyBorder="1" applyAlignment="1">
      <alignment horizontal="left"/>
    </xf>
    <xf numFmtId="0" fontId="119" fillId="0" borderId="82" xfId="0" applyFont="1" applyBorder="1" applyAlignment="1">
      <alignment horizontal="left"/>
    </xf>
    <xf numFmtId="0" fontId="101" fillId="0" borderId="37" xfId="0" applyFont="1" applyBorder="1" applyAlignment="1">
      <alignment horizontal="left"/>
    </xf>
    <xf numFmtId="0" fontId="101" fillId="0" borderId="15" xfId="0" applyFont="1" applyBorder="1" applyAlignment="1">
      <alignment horizontal="left"/>
    </xf>
    <xf numFmtId="0" fontId="102" fillId="0" borderId="78" xfId="0" applyFont="1" applyBorder="1" applyAlignment="1">
      <alignment horizontal="left"/>
    </xf>
    <xf numFmtId="2" fontId="102" fillId="0" borderId="50" xfId="0" applyNumberFormat="1" applyFont="1" applyBorder="1" applyAlignment="1">
      <alignment horizontal="left"/>
    </xf>
    <xf numFmtId="2" fontId="120" fillId="0" borderId="41" xfId="0" applyNumberFormat="1" applyFont="1" applyBorder="1" applyAlignment="1">
      <alignment horizontal="left"/>
    </xf>
    <xf numFmtId="2" fontId="119" fillId="0" borderId="55" xfId="0" applyNumberFormat="1" applyFont="1" applyBorder="1" applyAlignment="1">
      <alignment horizontal="left" vertical="center"/>
    </xf>
    <xf numFmtId="2" fontId="119" fillId="0" borderId="56" xfId="0" applyNumberFormat="1" applyFont="1" applyBorder="1" applyAlignment="1">
      <alignment horizontal="left" vertical="center"/>
    </xf>
    <xf numFmtId="2" fontId="119" fillId="0" borderId="58" xfId="0" applyNumberFormat="1" applyFont="1" applyBorder="1" applyAlignment="1">
      <alignment horizontal="left" vertical="center"/>
    </xf>
    <xf numFmtId="0" fontId="102" fillId="0" borderId="85" xfId="0" applyFont="1" applyBorder="1" applyAlignment="1">
      <alignment horizontal="left"/>
    </xf>
    <xf numFmtId="2" fontId="102" fillId="0" borderId="74" xfId="0" applyNumberFormat="1" applyFont="1" applyBorder="1" applyAlignment="1">
      <alignment horizontal="left"/>
    </xf>
    <xf numFmtId="2" fontId="120" fillId="0" borderId="53" xfId="0" applyNumberFormat="1" applyFont="1" applyBorder="1" applyAlignment="1">
      <alignment horizontal="left"/>
    </xf>
    <xf numFmtId="1" fontId="101" fillId="0" borderId="73" xfId="0" applyNumberFormat="1" applyFont="1" applyFill="1" applyBorder="1" applyAlignment="1">
      <alignment horizontal="center" vertical="justify" wrapText="1"/>
    </xf>
    <xf numFmtId="1" fontId="119" fillId="0" borderId="77" xfId="0" applyNumberFormat="1" applyFont="1" applyBorder="1" applyAlignment="1">
      <alignment horizontal="center" vertical="justify" wrapText="1"/>
    </xf>
    <xf numFmtId="1" fontId="119" fillId="0" borderId="81" xfId="0" applyNumberFormat="1" applyFont="1" applyBorder="1" applyAlignment="1">
      <alignment horizontal="center" vertical="justify" wrapText="1"/>
    </xf>
    <xf numFmtId="1" fontId="101" fillId="0" borderId="60" xfId="0" applyNumberFormat="1" applyFont="1" applyFill="1" applyBorder="1" applyAlignment="1">
      <alignment horizontal="center" vertical="center" wrapText="1"/>
    </xf>
    <xf numFmtId="0" fontId="102" fillId="0" borderId="31" xfId="0" applyFont="1" applyBorder="1" applyAlignment="1">
      <alignment horizontal="left"/>
    </xf>
    <xf numFmtId="0" fontId="102" fillId="0" borderId="33" xfId="0" applyFont="1" applyBorder="1" applyAlignment="1">
      <alignment horizontal="left"/>
    </xf>
    <xf numFmtId="0" fontId="102" fillId="0" borderId="36" xfId="0" applyFont="1" applyBorder="1" applyAlignment="1">
      <alignment horizontal="left"/>
    </xf>
    <xf numFmtId="0" fontId="120" fillId="0" borderId="81" xfId="0" applyFont="1" applyBorder="1" applyAlignment="1">
      <alignment horizontal="left"/>
    </xf>
    <xf numFmtId="3" fontId="94" fillId="0" borderId="29" xfId="0" applyNumberFormat="1" applyFont="1" applyBorder="1" applyAlignment="1">
      <alignment horizontal="left"/>
    </xf>
    <xf numFmtId="3" fontId="94" fillId="0" borderId="36" xfId="0" applyNumberFormat="1" applyFont="1" applyBorder="1" applyAlignment="1">
      <alignment horizontal="left"/>
    </xf>
    <xf numFmtId="0" fontId="119" fillId="0" borderId="23" xfId="0" applyFont="1" applyBorder="1" applyAlignment="1">
      <alignment horizontal="left" vertical="justify" wrapText="1"/>
    </xf>
    <xf numFmtId="0" fontId="119" fillId="0" borderId="21" xfId="0" applyFont="1" applyBorder="1" applyAlignment="1">
      <alignment horizontal="left" vertical="justify" wrapText="1"/>
    </xf>
    <xf numFmtId="1" fontId="119" fillId="0" borderId="22" xfId="0" applyNumberFormat="1" applyFont="1" applyBorder="1" applyAlignment="1">
      <alignment horizontal="left" vertical="justify" wrapText="1"/>
    </xf>
    <xf numFmtId="0" fontId="119" fillId="0" borderId="20" xfId="0" applyFont="1" applyBorder="1" applyAlignment="1">
      <alignment horizontal="left" vertical="justify" wrapText="1"/>
    </xf>
    <xf numFmtId="1" fontId="119" fillId="0" borderId="22" xfId="0" applyNumberFormat="1" applyFont="1" applyFill="1" applyBorder="1" applyAlignment="1">
      <alignment horizontal="left" vertical="justify" wrapText="1"/>
    </xf>
    <xf numFmtId="1" fontId="98" fillId="0" borderId="16" xfId="0" applyNumberFormat="1" applyFont="1" applyBorder="1" applyAlignment="1">
      <alignment horizontal="left" vertical="center"/>
    </xf>
    <xf numFmtId="1" fontId="98" fillId="0" borderId="17" xfId="0" applyNumberFormat="1" applyFont="1" applyBorder="1" applyAlignment="1">
      <alignment horizontal="left"/>
    </xf>
    <xf numFmtId="1" fontId="98" fillId="0" borderId="14" xfId="0" applyNumberFormat="1" applyFont="1" applyBorder="1" applyAlignment="1">
      <alignment horizontal="left"/>
    </xf>
    <xf numFmtId="1" fontId="98" fillId="0" borderId="18" xfId="0" applyNumberFormat="1" applyFont="1" applyBorder="1" applyAlignment="1">
      <alignment horizontal="left"/>
    </xf>
    <xf numFmtId="1" fontId="98" fillId="0" borderId="18" xfId="0" applyNumberFormat="1" applyFont="1" applyFill="1" applyBorder="1" applyAlignment="1">
      <alignment horizontal="left"/>
    </xf>
    <xf numFmtId="1" fontId="98" fillId="0" borderId="16" xfId="0" applyNumberFormat="1" applyFont="1" applyBorder="1" applyAlignment="1">
      <alignment horizontal="left"/>
    </xf>
    <xf numFmtId="1" fontId="98" fillId="0" borderId="17" xfId="44" applyNumberFormat="1" applyFont="1" applyBorder="1" applyAlignment="1">
      <alignment horizontal="left"/>
    </xf>
    <xf numFmtId="1" fontId="98" fillId="0" borderId="14" xfId="44" applyNumberFormat="1" applyFont="1" applyBorder="1" applyAlignment="1">
      <alignment horizontal="left"/>
    </xf>
    <xf numFmtId="1" fontId="98" fillId="0" borderId="18" xfId="44" applyNumberFormat="1" applyFont="1" applyBorder="1" applyAlignment="1">
      <alignment horizontal="left"/>
    </xf>
    <xf numFmtId="1" fontId="98" fillId="0" borderId="17" xfId="0" applyNumberFormat="1" applyFont="1" applyBorder="1" applyAlignment="1">
      <alignment horizontal="left" wrapText="1"/>
    </xf>
    <xf numFmtId="0" fontId="105" fillId="0" borderId="17" xfId="0" applyFont="1" applyBorder="1" applyAlignment="1">
      <alignment horizontal="left"/>
    </xf>
    <xf numFmtId="1" fontId="98" fillId="0" borderId="17" xfId="0" applyNumberFormat="1" applyFont="1" applyFill="1" applyBorder="1" applyAlignment="1">
      <alignment horizontal="left"/>
    </xf>
    <xf numFmtId="1" fontId="98" fillId="0" borderId="14" xfId="0" applyNumberFormat="1" applyFont="1" applyFill="1" applyBorder="1" applyAlignment="1">
      <alignment horizontal="left"/>
    </xf>
    <xf numFmtId="1" fontId="98" fillId="0" borderId="17" xfId="42" applyNumberFormat="1" applyFont="1" applyBorder="1" applyAlignment="1">
      <alignment horizontal="left"/>
    </xf>
    <xf numFmtId="1" fontId="98" fillId="0" borderId="14" xfId="42" applyNumberFormat="1" applyFont="1" applyBorder="1" applyAlignment="1">
      <alignment horizontal="left"/>
    </xf>
    <xf numFmtId="1" fontId="98" fillId="0" borderId="18" xfId="42" applyNumberFormat="1" applyFont="1" applyBorder="1" applyAlignment="1">
      <alignment horizontal="left"/>
    </xf>
    <xf numFmtId="1" fontId="99" fillId="0" borderId="14" xfId="0" applyNumberFormat="1" applyFont="1" applyBorder="1" applyAlignment="1">
      <alignment horizontal="left"/>
    </xf>
    <xf numFmtId="1" fontId="99" fillId="0" borderId="18" xfId="0" applyNumberFormat="1" applyFont="1" applyBorder="1" applyAlignment="1">
      <alignment horizontal="left"/>
    </xf>
    <xf numFmtId="1" fontId="99" fillId="0" borderId="16" xfId="0" applyNumberFormat="1" applyFont="1" applyBorder="1" applyAlignment="1">
      <alignment horizontal="left"/>
    </xf>
    <xf numFmtId="1" fontId="97" fillId="0" borderId="18" xfId="0" applyNumberFormat="1" applyFont="1" applyBorder="1" applyAlignment="1">
      <alignment horizontal="left"/>
    </xf>
    <xf numFmtId="1" fontId="98" fillId="0" borderId="13" xfId="44" applyNumberFormat="1" applyFont="1" applyBorder="1" applyAlignment="1">
      <alignment horizontal="left"/>
    </xf>
    <xf numFmtId="1" fontId="98" fillId="0" borderId="10" xfId="44" applyNumberFormat="1" applyFont="1" applyBorder="1" applyAlignment="1">
      <alignment horizontal="left"/>
    </xf>
    <xf numFmtId="1" fontId="98" fillId="0" borderId="13" xfId="42" applyNumberFormat="1" applyFont="1" applyBorder="1" applyAlignment="1">
      <alignment horizontal="left"/>
    </xf>
    <xf numFmtId="1" fontId="97" fillId="0" borderId="11" xfId="0" applyNumberFormat="1" applyFont="1" applyBorder="1" applyAlignment="1">
      <alignment horizontal="left"/>
    </xf>
    <xf numFmtId="1" fontId="97" fillId="0" borderId="10" xfId="0" applyNumberFormat="1" applyFont="1" applyFill="1" applyBorder="1" applyAlignment="1">
      <alignment horizontal="left"/>
    </xf>
    <xf numFmtId="1" fontId="97" fillId="0" borderId="23" xfId="0" applyNumberFormat="1" applyFont="1" applyBorder="1" applyAlignment="1">
      <alignment horizontal="left"/>
    </xf>
    <xf numFmtId="1" fontId="97" fillId="0" borderId="21" xfId="0" applyNumberFormat="1" applyFont="1" applyBorder="1" applyAlignment="1">
      <alignment horizontal="left"/>
    </xf>
    <xf numFmtId="1" fontId="97" fillId="0" borderId="22" xfId="0" applyNumberFormat="1" applyFont="1" applyBorder="1" applyAlignment="1">
      <alignment horizontal="left"/>
    </xf>
    <xf numFmtId="1" fontId="97" fillId="0" borderId="20" xfId="0" applyNumberFormat="1" applyFont="1" applyBorder="1" applyAlignment="1">
      <alignment horizontal="left"/>
    </xf>
    <xf numFmtId="1" fontId="97" fillId="0" borderId="22" xfId="0" applyNumberFormat="1" applyFont="1" applyFill="1" applyBorder="1" applyAlignment="1">
      <alignment horizontal="left"/>
    </xf>
    <xf numFmtId="0" fontId="123" fillId="0" borderId="45" xfId="0" applyFont="1" applyBorder="1" applyAlignment="1">
      <alignment horizontal="left"/>
    </xf>
    <xf numFmtId="1" fontId="117" fillId="0" borderId="11" xfId="0" applyNumberFormat="1" applyFont="1" applyBorder="1" applyAlignment="1">
      <alignment horizontal="left"/>
    </xf>
    <xf numFmtId="1" fontId="117" fillId="0" borderId="12" xfId="0" applyNumberFormat="1" applyFont="1" applyBorder="1" applyAlignment="1">
      <alignment horizontal="left"/>
    </xf>
    <xf numFmtId="1" fontId="117" fillId="0" borderId="10" xfId="0" applyNumberFormat="1" applyFont="1" applyBorder="1" applyAlignment="1">
      <alignment horizontal="left"/>
    </xf>
    <xf numFmtId="1" fontId="117" fillId="0" borderId="13" xfId="0" applyNumberFormat="1" applyFont="1" applyBorder="1" applyAlignment="1">
      <alignment horizontal="left"/>
    </xf>
    <xf numFmtId="1" fontId="122" fillId="0" borderId="12" xfId="0" applyNumberFormat="1" applyFont="1" applyBorder="1" applyAlignment="1">
      <alignment horizontal="left"/>
    </xf>
    <xf numFmtId="1" fontId="122" fillId="0" borderId="10" xfId="0" applyNumberFormat="1" applyFont="1" applyBorder="1" applyAlignment="1">
      <alignment horizontal="left"/>
    </xf>
    <xf numFmtId="1" fontId="122" fillId="0" borderId="11" xfId="0" applyNumberFormat="1" applyFont="1" applyBorder="1" applyAlignment="1">
      <alignment horizontal="left"/>
    </xf>
    <xf numFmtId="0" fontId="119" fillId="0" borderId="28" xfId="0" applyFont="1" applyBorder="1" applyAlignment="1">
      <alignment horizontal="left"/>
    </xf>
    <xf numFmtId="0" fontId="103" fillId="0" borderId="77" xfId="0" applyFont="1" applyBorder="1" applyAlignment="1">
      <alignment horizontal="left"/>
    </xf>
    <xf numFmtId="0" fontId="97" fillId="0" borderId="35" xfId="0" applyFont="1" applyBorder="1" applyAlignment="1">
      <alignment/>
    </xf>
    <xf numFmtId="0" fontId="97" fillId="0" borderId="69" xfId="0" applyFont="1" applyBorder="1" applyAlignment="1">
      <alignment/>
    </xf>
    <xf numFmtId="1" fontId="101" fillId="0" borderId="60" xfId="0" applyNumberFormat="1" applyFont="1" applyFill="1" applyBorder="1" applyAlignment="1">
      <alignment horizontal="center" vertical="justify" wrapText="1"/>
    </xf>
    <xf numFmtId="0" fontId="97" fillId="0" borderId="43" xfId="0" applyFont="1" applyBorder="1" applyAlignment="1">
      <alignment/>
    </xf>
    <xf numFmtId="0" fontId="97" fillId="0" borderId="19" xfId="0" applyFont="1" applyBorder="1" applyAlignment="1">
      <alignment/>
    </xf>
    <xf numFmtId="0" fontId="97" fillId="0" borderId="76" xfId="0" applyFont="1" applyBorder="1" applyAlignment="1">
      <alignment/>
    </xf>
    <xf numFmtId="0" fontId="97" fillId="0" borderId="26" xfId="0" applyFont="1" applyBorder="1" applyAlignment="1">
      <alignment/>
    </xf>
    <xf numFmtId="0" fontId="100" fillId="0" borderId="15" xfId="0" applyFont="1" applyBorder="1" applyAlignment="1">
      <alignment horizontal="left"/>
    </xf>
    <xf numFmtId="2" fontId="3" fillId="0" borderId="24" xfId="0" applyNumberFormat="1" applyFont="1" applyBorder="1" applyAlignment="1">
      <alignment horizontal="left"/>
    </xf>
    <xf numFmtId="2" fontId="91" fillId="0" borderId="10" xfId="44" applyNumberFormat="1" applyFont="1" applyBorder="1" applyAlignment="1">
      <alignment horizontal="left"/>
    </xf>
    <xf numFmtId="2" fontId="92" fillId="0" borderId="44" xfId="0" applyNumberFormat="1" applyFont="1" applyBorder="1" applyAlignment="1">
      <alignment horizontal="left"/>
    </xf>
    <xf numFmtId="2" fontId="92" fillId="0" borderId="34" xfId="0" applyNumberFormat="1" applyFont="1" applyBorder="1" applyAlignment="1">
      <alignment horizontal="left"/>
    </xf>
    <xf numFmtId="2" fontId="91" fillId="0" borderId="57" xfId="0" applyNumberFormat="1" applyFont="1" applyBorder="1" applyAlignment="1">
      <alignment horizontal="left"/>
    </xf>
    <xf numFmtId="2" fontId="92" fillId="0" borderId="16" xfId="44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98" fillId="0" borderId="16" xfId="0" applyNumberFormat="1" applyFont="1" applyBorder="1" applyAlignment="1">
      <alignment horizontal="left" wrapText="1"/>
    </xf>
    <xf numFmtId="2" fontId="98" fillId="0" borderId="11" xfId="0" applyNumberFormat="1" applyFont="1" applyBorder="1" applyAlignment="1">
      <alignment horizontal="left" wrapText="1"/>
    </xf>
    <xf numFmtId="2" fontId="98" fillId="0" borderId="30" xfId="0" applyNumberFormat="1" applyFont="1" applyBorder="1" applyAlignment="1">
      <alignment horizontal="left" wrapText="1"/>
    </xf>
    <xf numFmtId="2" fontId="98" fillId="0" borderId="55" xfId="0" applyNumberFormat="1" applyFont="1" applyBorder="1" applyAlignment="1">
      <alignment horizontal="left" wrapText="1"/>
    </xf>
    <xf numFmtId="3" fontId="94" fillId="0" borderId="24" xfId="0" applyNumberFormat="1" applyFont="1" applyBorder="1" applyAlignment="1">
      <alignment horizontal="left"/>
    </xf>
    <xf numFmtId="164" fontId="94" fillId="0" borderId="24" xfId="0" applyNumberFormat="1" applyFont="1" applyBorder="1" applyAlignment="1">
      <alignment horizontal="left"/>
    </xf>
    <xf numFmtId="0" fontId="94" fillId="0" borderId="24" xfId="0" applyFont="1" applyBorder="1" applyAlignment="1">
      <alignment horizontal="left"/>
    </xf>
    <xf numFmtId="164" fontId="94" fillId="0" borderId="34" xfId="0" applyNumberFormat="1" applyFont="1" applyBorder="1" applyAlignment="1">
      <alignment horizontal="left"/>
    </xf>
    <xf numFmtId="0" fontId="102" fillId="0" borderId="57" xfId="0" applyFont="1" applyBorder="1" applyAlignment="1">
      <alignment horizontal="left"/>
    </xf>
    <xf numFmtId="2" fontId="98" fillId="0" borderId="24" xfId="42" applyNumberFormat="1" applyFont="1" applyBorder="1" applyAlignment="1">
      <alignment horizontal="left"/>
    </xf>
    <xf numFmtId="2" fontId="98" fillId="0" borderId="34" xfId="42" applyNumberFormat="1" applyFont="1" applyBorder="1" applyAlignment="1">
      <alignment horizontal="left"/>
    </xf>
    <xf numFmtId="2" fontId="98" fillId="0" borderId="57" xfId="42" applyNumberFormat="1" applyFont="1" applyBorder="1" applyAlignment="1">
      <alignment horizontal="left"/>
    </xf>
    <xf numFmtId="1" fontId="92" fillId="0" borderId="30" xfId="0" applyNumberFormat="1" applyFont="1" applyBorder="1" applyAlignment="1">
      <alignment horizontal="left" vertical="center"/>
    </xf>
    <xf numFmtId="1" fontId="92" fillId="0" borderId="31" xfId="0" applyNumberFormat="1" applyFont="1" applyBorder="1" applyAlignment="1">
      <alignment horizontal="left" vertical="center"/>
    </xf>
    <xf numFmtId="1" fontId="92" fillId="0" borderId="32" xfId="0" applyNumberFormat="1" applyFont="1" applyBorder="1" applyAlignment="1">
      <alignment horizontal="left"/>
    </xf>
    <xf numFmtId="1" fontId="92" fillId="0" borderId="31" xfId="0" applyNumberFormat="1" applyFont="1" applyBorder="1" applyAlignment="1">
      <alignment horizontal="left"/>
    </xf>
    <xf numFmtId="1" fontId="92" fillId="0" borderId="33" xfId="0" applyNumberFormat="1" applyFont="1" applyBorder="1" applyAlignment="1">
      <alignment horizontal="left"/>
    </xf>
    <xf numFmtId="1" fontId="92" fillId="0" borderId="30" xfId="0" applyNumberFormat="1" applyFont="1" applyBorder="1" applyAlignment="1">
      <alignment horizontal="left"/>
    </xf>
    <xf numFmtId="2" fontId="92" fillId="0" borderId="30" xfId="0" applyNumberFormat="1" applyFont="1" applyBorder="1" applyAlignment="1">
      <alignment horizontal="left" wrapText="1"/>
    </xf>
    <xf numFmtId="3" fontId="95" fillId="0" borderId="32" xfId="0" applyNumberFormat="1" applyFont="1" applyBorder="1" applyAlignment="1">
      <alignment horizontal="left"/>
    </xf>
    <xf numFmtId="3" fontId="95" fillId="0" borderId="31" xfId="0" applyNumberFormat="1" applyFont="1" applyBorder="1" applyAlignment="1">
      <alignment horizontal="left"/>
    </xf>
    <xf numFmtId="1" fontId="92" fillId="0" borderId="32" xfId="0" applyNumberFormat="1" applyFont="1" applyFill="1" applyBorder="1" applyAlignment="1">
      <alignment horizontal="left"/>
    </xf>
    <xf numFmtId="1" fontId="92" fillId="0" borderId="31" xfId="0" applyNumberFormat="1" applyFont="1" applyFill="1" applyBorder="1" applyAlignment="1">
      <alignment horizontal="left"/>
    </xf>
    <xf numFmtId="1" fontId="92" fillId="0" borderId="32" xfId="42" applyNumberFormat="1" applyFont="1" applyBorder="1" applyAlignment="1">
      <alignment horizontal="left"/>
    </xf>
    <xf numFmtId="1" fontId="92" fillId="0" borderId="31" xfId="42" applyNumberFormat="1" applyFont="1" applyBorder="1" applyAlignment="1">
      <alignment horizontal="left"/>
    </xf>
    <xf numFmtId="1" fontId="92" fillId="0" borderId="30" xfId="42" applyNumberFormat="1" applyFont="1" applyBorder="1" applyAlignment="1">
      <alignment horizontal="left"/>
    </xf>
    <xf numFmtId="1" fontId="91" fillId="0" borderId="50" xfId="0" applyNumberFormat="1" applyFont="1" applyBorder="1" applyAlignment="1">
      <alignment horizontal="left"/>
    </xf>
    <xf numFmtId="1" fontId="91" fillId="0" borderId="25" xfId="0" applyNumberFormat="1" applyFont="1" applyBorder="1" applyAlignment="1">
      <alignment horizontal="left"/>
    </xf>
    <xf numFmtId="1" fontId="107" fillId="0" borderId="80" xfId="0" applyNumberFormat="1" applyFont="1" applyBorder="1" applyAlignment="1">
      <alignment horizontal="left" vertical="center"/>
    </xf>
    <xf numFmtId="1" fontId="107" fillId="0" borderId="82" xfId="0" applyNumberFormat="1" applyFont="1" applyBorder="1" applyAlignment="1">
      <alignment horizontal="left" vertical="center"/>
    </xf>
    <xf numFmtId="1" fontId="107" fillId="0" borderId="83" xfId="0" applyNumberFormat="1" applyFont="1" applyBorder="1" applyAlignment="1">
      <alignment horizontal="left" vertical="center"/>
    </xf>
    <xf numFmtId="1" fontId="107" fillId="0" borderId="85" xfId="0" applyNumberFormat="1" applyFont="1" applyBorder="1" applyAlignment="1">
      <alignment horizontal="left" vertical="center"/>
    </xf>
    <xf numFmtId="1" fontId="107" fillId="0" borderId="78" xfId="0" applyNumberFormat="1" applyFont="1" applyBorder="1" applyAlignment="1">
      <alignment horizontal="left" vertical="center"/>
    </xf>
    <xf numFmtId="1" fontId="107" fillId="0" borderId="77" xfId="0" applyNumberFormat="1" applyFont="1" applyBorder="1" applyAlignment="1">
      <alignment horizontal="left" vertical="center"/>
    </xf>
    <xf numFmtId="1" fontId="107" fillId="0" borderId="80" xfId="0" applyNumberFormat="1" applyFont="1" applyBorder="1" applyAlignment="1">
      <alignment horizontal="left"/>
    </xf>
    <xf numFmtId="1" fontId="107" fillId="0" borderId="83" xfId="0" applyNumberFormat="1" applyFont="1" applyBorder="1" applyAlignment="1">
      <alignment horizontal="left"/>
    </xf>
    <xf numFmtId="1" fontId="107" fillId="0" borderId="85" xfId="0" applyNumberFormat="1" applyFont="1" applyBorder="1" applyAlignment="1">
      <alignment horizontal="left"/>
    </xf>
    <xf numFmtId="1" fontId="108" fillId="0" borderId="80" xfId="42" applyNumberFormat="1" applyFont="1" applyBorder="1" applyAlignment="1">
      <alignment horizontal="left"/>
    </xf>
    <xf numFmtId="1" fontId="108" fillId="0" borderId="78" xfId="42" applyNumberFormat="1" applyFont="1" applyBorder="1" applyAlignment="1">
      <alignment horizontal="left"/>
    </xf>
    <xf numFmtId="1" fontId="108" fillId="0" borderId="81" xfId="42" applyNumberFormat="1" applyFont="1" applyBorder="1" applyAlignment="1">
      <alignment horizontal="left"/>
    </xf>
    <xf numFmtId="1" fontId="107" fillId="0" borderId="78" xfId="0" applyNumberFormat="1" applyFont="1" applyBorder="1" applyAlignment="1">
      <alignment horizontal="left"/>
    </xf>
    <xf numFmtId="1" fontId="107" fillId="0" borderId="81" xfId="0" applyNumberFormat="1" applyFont="1" applyBorder="1" applyAlignment="1">
      <alignment horizontal="left"/>
    </xf>
    <xf numFmtId="1" fontId="92" fillId="0" borderId="64" xfId="0" applyNumberFormat="1" applyFont="1" applyBorder="1" applyAlignment="1">
      <alignment horizontal="center" vertical="justify" wrapText="1"/>
    </xf>
    <xf numFmtId="1" fontId="100" fillId="0" borderId="13" xfId="0" applyNumberFormat="1" applyFont="1" applyBorder="1" applyAlignment="1">
      <alignment horizontal="center" vertical="justify" wrapText="1"/>
    </xf>
    <xf numFmtId="1" fontId="92" fillId="0" borderId="13" xfId="0" applyNumberFormat="1" applyFont="1" applyBorder="1" applyAlignment="1">
      <alignment horizontal="center" vertical="justify" wrapText="1"/>
    </xf>
    <xf numFmtId="1" fontId="92" fillId="0" borderId="20" xfId="0" applyNumberFormat="1" applyFont="1" applyBorder="1" applyAlignment="1">
      <alignment horizontal="center" vertical="justify" wrapText="1"/>
    </xf>
    <xf numFmtId="0" fontId="92" fillId="0" borderId="27" xfId="0" applyFont="1" applyBorder="1" applyAlignment="1">
      <alignment horizontal="center"/>
    </xf>
    <xf numFmtId="1" fontId="91" fillId="0" borderId="30" xfId="0" applyNumberFormat="1" applyFont="1" applyBorder="1" applyAlignment="1">
      <alignment horizontal="left" vertical="center"/>
    </xf>
    <xf numFmtId="1" fontId="91" fillId="0" borderId="36" xfId="0" applyNumberFormat="1" applyFont="1" applyBorder="1" applyAlignment="1">
      <alignment horizontal="left" vertical="center"/>
    </xf>
    <xf numFmtId="1" fontId="91" fillId="0" borderId="32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left"/>
    </xf>
    <xf numFmtId="1" fontId="3" fillId="0" borderId="33" xfId="0" applyNumberFormat="1" applyFont="1" applyBorder="1" applyAlignment="1">
      <alignment horizontal="left"/>
    </xf>
    <xf numFmtId="1" fontId="92" fillId="0" borderId="32" xfId="44" applyNumberFormat="1" applyFont="1" applyBorder="1" applyAlignment="1">
      <alignment horizontal="left"/>
    </xf>
    <xf numFmtId="1" fontId="6" fillId="0" borderId="31" xfId="44" applyNumberFormat="1" applyFont="1" applyBorder="1" applyAlignment="1">
      <alignment horizontal="left"/>
    </xf>
    <xf numFmtId="1" fontId="3" fillId="0" borderId="32" xfId="0" applyNumberFormat="1" applyFont="1" applyBorder="1" applyAlignment="1">
      <alignment horizontal="left"/>
    </xf>
    <xf numFmtId="1" fontId="92" fillId="0" borderId="32" xfId="0" applyNumberFormat="1" applyFont="1" applyBorder="1" applyAlignment="1">
      <alignment horizontal="left" wrapText="1"/>
    </xf>
    <xf numFmtId="1" fontId="6" fillId="0" borderId="31" xfId="0" applyNumberFormat="1" applyFont="1" applyBorder="1" applyAlignment="1">
      <alignment horizontal="left"/>
    </xf>
    <xf numFmtId="1" fontId="6" fillId="0" borderId="33" xfId="0" applyNumberFormat="1" applyFont="1" applyBorder="1" applyAlignment="1">
      <alignment horizontal="left"/>
    </xf>
    <xf numFmtId="1" fontId="92" fillId="0" borderId="30" xfId="0" applyNumberFormat="1" applyFont="1" applyFill="1" applyBorder="1" applyAlignment="1">
      <alignment horizontal="left" vertical="top" wrapText="1"/>
    </xf>
    <xf numFmtId="1" fontId="92" fillId="0" borderId="31" xfId="0" applyNumberFormat="1" applyFont="1" applyFill="1" applyBorder="1" applyAlignment="1">
      <alignment horizontal="left" vertical="top" wrapText="1"/>
    </xf>
    <xf numFmtId="1" fontId="92" fillId="0" borderId="35" xfId="0" applyNumberFormat="1" applyFont="1" applyFill="1" applyBorder="1" applyAlignment="1">
      <alignment horizontal="left"/>
    </xf>
    <xf numFmtId="1" fontId="6" fillId="0" borderId="34" xfId="0" applyNumberFormat="1" applyFont="1" applyFill="1" applyBorder="1" applyAlignment="1">
      <alignment horizontal="left"/>
    </xf>
    <xf numFmtId="1" fontId="6" fillId="0" borderId="31" xfId="42" applyNumberFormat="1" applyFont="1" applyBorder="1" applyAlignment="1">
      <alignment horizontal="left"/>
    </xf>
    <xf numFmtId="1" fontId="91" fillId="0" borderId="32" xfId="0" applyNumberFormat="1" applyFont="1" applyBorder="1" applyAlignment="1">
      <alignment horizontal="left" vertical="center"/>
    </xf>
    <xf numFmtId="1" fontId="91" fillId="0" borderId="42" xfId="0" applyNumberFormat="1" applyFont="1" applyBorder="1" applyAlignment="1">
      <alignment horizontal="left" vertical="center"/>
    </xf>
    <xf numFmtId="1" fontId="91" fillId="0" borderId="30" xfId="0" applyNumberFormat="1" applyFont="1" applyBorder="1" applyAlignment="1">
      <alignment horizontal="left"/>
    </xf>
    <xf numFmtId="1" fontId="101" fillId="0" borderId="73" xfId="0" applyNumberFormat="1" applyFont="1" applyFill="1" applyBorder="1" applyAlignment="1">
      <alignment horizontal="center" vertical="center" wrapText="1"/>
    </xf>
    <xf numFmtId="1" fontId="117" fillId="0" borderId="0" xfId="0" applyNumberFormat="1" applyFont="1" applyAlignment="1">
      <alignment horizontal="left"/>
    </xf>
    <xf numFmtId="1" fontId="98" fillId="0" borderId="16" xfId="44" applyNumberFormat="1" applyFont="1" applyBorder="1" applyAlignment="1">
      <alignment horizontal="left"/>
    </xf>
    <xf numFmtId="1" fontId="98" fillId="0" borderId="16" xfId="0" applyNumberFormat="1" applyFont="1" applyBorder="1" applyAlignment="1">
      <alignment horizontal="left" wrapText="1"/>
    </xf>
    <xf numFmtId="1" fontId="98" fillId="0" borderId="16" xfId="0" applyNumberFormat="1" applyFont="1" applyFill="1" applyBorder="1" applyAlignment="1">
      <alignment horizontal="left"/>
    </xf>
    <xf numFmtId="1" fontId="98" fillId="0" borderId="16" xfId="42" applyNumberFormat="1" applyFont="1" applyBorder="1" applyAlignment="1">
      <alignment horizontal="left"/>
    </xf>
    <xf numFmtId="1" fontId="98" fillId="0" borderId="44" xfId="42" applyNumberFormat="1" applyFont="1" applyBorder="1" applyAlignment="1">
      <alignment horizontal="left"/>
    </xf>
    <xf numFmtId="1" fontId="98" fillId="0" borderId="44" xfId="0" applyNumberFormat="1" applyFont="1" applyBorder="1" applyAlignment="1">
      <alignment horizontal="left"/>
    </xf>
    <xf numFmtId="1" fontId="98" fillId="0" borderId="11" xfId="0" applyNumberFormat="1" applyFont="1" applyBorder="1" applyAlignment="1">
      <alignment horizontal="left" wrapText="1"/>
    </xf>
    <xf numFmtId="1" fontId="98" fillId="0" borderId="11" xfId="0" applyNumberFormat="1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" fontId="98" fillId="0" borderId="20" xfId="0" applyNumberFormat="1" applyFont="1" applyBorder="1" applyAlignment="1">
      <alignment horizontal="left"/>
    </xf>
    <xf numFmtId="1" fontId="98" fillId="0" borderId="21" xfId="0" applyNumberFormat="1" applyFont="1" applyBorder="1" applyAlignment="1">
      <alignment horizontal="left"/>
    </xf>
    <xf numFmtId="1" fontId="98" fillId="0" borderId="22" xfId="0" applyNumberFormat="1" applyFont="1" applyBorder="1" applyAlignment="1">
      <alignment horizontal="left"/>
    </xf>
    <xf numFmtId="1" fontId="98" fillId="0" borderId="23" xfId="0" applyNumberFormat="1" applyFont="1" applyBorder="1" applyAlignment="1">
      <alignment horizontal="left"/>
    </xf>
    <xf numFmtId="1" fontId="98" fillId="0" borderId="23" xfId="44" applyNumberFormat="1" applyFont="1" applyBorder="1" applyAlignment="1">
      <alignment horizontal="left"/>
    </xf>
    <xf numFmtId="1" fontId="98" fillId="0" borderId="21" xfId="44" applyNumberFormat="1" applyFont="1" applyBorder="1" applyAlignment="1">
      <alignment horizontal="left"/>
    </xf>
    <xf numFmtId="1" fontId="98" fillId="0" borderId="22" xfId="44" applyNumberFormat="1" applyFont="1" applyBorder="1" applyAlignment="1">
      <alignment horizontal="left"/>
    </xf>
    <xf numFmtId="1" fontId="98" fillId="0" borderId="23" xfId="0" applyNumberFormat="1" applyFont="1" applyBorder="1" applyAlignment="1">
      <alignment horizontal="left" wrapText="1"/>
    </xf>
    <xf numFmtId="1" fontId="98" fillId="0" borderId="23" xfId="0" applyNumberFormat="1" applyFont="1" applyFill="1" applyBorder="1" applyAlignment="1">
      <alignment horizontal="left"/>
    </xf>
    <xf numFmtId="1" fontId="98" fillId="0" borderId="21" xfId="0" applyNumberFormat="1" applyFont="1" applyFill="1" applyBorder="1" applyAlignment="1">
      <alignment horizontal="left"/>
    </xf>
    <xf numFmtId="1" fontId="98" fillId="0" borderId="22" xfId="0" applyNumberFormat="1" applyFont="1" applyFill="1" applyBorder="1" applyAlignment="1">
      <alignment horizontal="left"/>
    </xf>
    <xf numFmtId="1" fontId="98" fillId="0" borderId="23" xfId="42" applyNumberFormat="1" applyFont="1" applyBorder="1" applyAlignment="1">
      <alignment horizontal="left"/>
    </xf>
    <xf numFmtId="1" fontId="98" fillId="0" borderId="21" xfId="42" applyNumberFormat="1" applyFont="1" applyBorder="1" applyAlignment="1">
      <alignment horizontal="left"/>
    </xf>
    <xf numFmtId="1" fontId="98" fillId="0" borderId="66" xfId="42" applyNumberFormat="1" applyFont="1" applyBorder="1" applyAlignment="1">
      <alignment horizontal="left"/>
    </xf>
    <xf numFmtId="1" fontId="98" fillId="0" borderId="66" xfId="0" applyNumberFormat="1" applyFont="1" applyBorder="1" applyAlignment="1">
      <alignment horizontal="left"/>
    </xf>
    <xf numFmtId="1" fontId="101" fillId="0" borderId="10" xfId="0" applyNumberFormat="1" applyFont="1" applyBorder="1" applyAlignment="1">
      <alignment horizontal="left" vertical="center"/>
    </xf>
    <xf numFmtId="1" fontId="119" fillId="0" borderId="21" xfId="0" applyNumberFormat="1" applyFont="1" applyBorder="1" applyAlignment="1">
      <alignment horizontal="left"/>
    </xf>
    <xf numFmtId="1" fontId="119" fillId="0" borderId="22" xfId="0" applyNumberFormat="1" applyFont="1" applyBorder="1" applyAlignment="1">
      <alignment horizontal="left"/>
    </xf>
    <xf numFmtId="0" fontId="102" fillId="0" borderId="11" xfId="0" applyFont="1" applyBorder="1" applyAlignment="1">
      <alignment horizontal="left"/>
    </xf>
    <xf numFmtId="3" fontId="119" fillId="0" borderId="21" xfId="0" applyNumberFormat="1" applyFont="1" applyBorder="1" applyAlignment="1">
      <alignment horizontal="left"/>
    </xf>
    <xf numFmtId="3" fontId="119" fillId="0" borderId="22" xfId="0" applyNumberFormat="1" applyFont="1" applyBorder="1" applyAlignment="1">
      <alignment horizontal="left"/>
    </xf>
    <xf numFmtId="1" fontId="115" fillId="0" borderId="10" xfId="0" applyNumberFormat="1" applyFont="1" applyBorder="1" applyAlignment="1">
      <alignment horizontal="left"/>
    </xf>
    <xf numFmtId="3" fontId="100" fillId="0" borderId="13" xfId="0" applyNumberFormat="1" applyFont="1" applyBorder="1" applyAlignment="1">
      <alignment horizontal="left"/>
    </xf>
    <xf numFmtId="3" fontId="100" fillId="0" borderId="12" xfId="0" applyNumberFormat="1" applyFont="1" applyBorder="1" applyAlignment="1">
      <alignment horizontal="left"/>
    </xf>
    <xf numFmtId="3" fontId="100" fillId="0" borderId="10" xfId="0" applyNumberFormat="1" applyFont="1" applyBorder="1" applyAlignment="1">
      <alignment horizontal="left"/>
    </xf>
    <xf numFmtId="1" fontId="92" fillId="0" borderId="20" xfId="0" applyNumberFormat="1" applyFont="1" applyBorder="1" applyAlignment="1">
      <alignment horizontal="left"/>
    </xf>
    <xf numFmtId="1" fontId="119" fillId="0" borderId="66" xfId="0" applyNumberFormat="1" applyFont="1" applyBorder="1" applyAlignment="1">
      <alignment horizontal="left" vertical="justify" wrapText="1"/>
    </xf>
    <xf numFmtId="1" fontId="98" fillId="0" borderId="45" xfId="0" applyNumberFormat="1" applyFont="1" applyBorder="1" applyAlignment="1">
      <alignment horizontal="left" vertical="center"/>
    </xf>
    <xf numFmtId="1" fontId="97" fillId="0" borderId="24" xfId="0" applyNumberFormat="1" applyFont="1" applyBorder="1" applyAlignment="1">
      <alignment horizontal="left"/>
    </xf>
    <xf numFmtId="1" fontId="117" fillId="0" borderId="24" xfId="0" applyNumberFormat="1" applyFont="1" applyBorder="1" applyAlignment="1">
      <alignment horizontal="left"/>
    </xf>
    <xf numFmtId="1" fontId="97" fillId="0" borderId="66" xfId="0" applyNumberFormat="1" applyFont="1" applyBorder="1" applyAlignment="1">
      <alignment horizontal="left"/>
    </xf>
    <xf numFmtId="1" fontId="98" fillId="0" borderId="27" xfId="0" applyNumberFormat="1" applyFont="1" applyBorder="1" applyAlignment="1">
      <alignment horizontal="left" vertical="center"/>
    </xf>
    <xf numFmtId="1" fontId="97" fillId="0" borderId="0" xfId="0" applyNumberFormat="1" applyFont="1" applyAlignment="1">
      <alignment horizontal="center"/>
    </xf>
    <xf numFmtId="0" fontId="99" fillId="0" borderId="87" xfId="0" applyFont="1" applyBorder="1" applyAlignment="1">
      <alignment horizontal="center" vertical="center"/>
    </xf>
    <xf numFmtId="2" fontId="91" fillId="0" borderId="0" xfId="0" applyNumberFormat="1" applyFont="1" applyFill="1" applyBorder="1" applyAlignment="1">
      <alignment/>
    </xf>
    <xf numFmtId="2" fontId="96" fillId="0" borderId="0" xfId="0" applyNumberFormat="1" applyFont="1" applyBorder="1" applyAlignment="1">
      <alignment/>
    </xf>
    <xf numFmtId="2" fontId="116" fillId="0" borderId="79" xfId="0" applyNumberFormat="1" applyFont="1" applyBorder="1" applyAlignment="1">
      <alignment horizontal="center" vertical="justify" wrapText="1"/>
    </xf>
    <xf numFmtId="2" fontId="91" fillId="0" borderId="68" xfId="0" applyNumberFormat="1" applyFont="1" applyBorder="1" applyAlignment="1">
      <alignment horizontal="center" vertical="center"/>
    </xf>
    <xf numFmtId="2" fontId="92" fillId="0" borderId="0" xfId="0" applyNumberFormat="1" applyFont="1" applyAlignment="1">
      <alignment horizontal="center"/>
    </xf>
    <xf numFmtId="0" fontId="94" fillId="0" borderId="46" xfId="0" applyFont="1" applyBorder="1" applyAlignment="1">
      <alignment horizontal="left"/>
    </xf>
    <xf numFmtId="0" fontId="97" fillId="0" borderId="46" xfId="0" applyFont="1" applyBorder="1" applyAlignment="1">
      <alignment/>
    </xf>
    <xf numFmtId="2" fontId="98" fillId="0" borderId="42" xfId="0" applyNumberFormat="1" applyFont="1" applyBorder="1" applyAlignment="1">
      <alignment vertical="center"/>
    </xf>
    <xf numFmtId="2" fontId="98" fillId="0" borderId="36" xfId="0" applyNumberFormat="1" applyFont="1" applyBorder="1" applyAlignment="1">
      <alignment horizontal="right"/>
    </xf>
    <xf numFmtId="2" fontId="98" fillId="0" borderId="42" xfId="0" applyNumberFormat="1" applyFont="1" applyBorder="1" applyAlignment="1">
      <alignment horizontal="right"/>
    </xf>
    <xf numFmtId="2" fontId="92" fillId="0" borderId="36" xfId="0" applyNumberFormat="1" applyFont="1" applyBorder="1" applyAlignment="1">
      <alignment horizontal="right"/>
    </xf>
    <xf numFmtId="2" fontId="102" fillId="0" borderId="36" xfId="0" applyNumberFormat="1" applyFont="1" applyBorder="1" applyAlignment="1">
      <alignment horizontal="left"/>
    </xf>
    <xf numFmtId="2" fontId="98" fillId="0" borderId="36" xfId="42" applyNumberFormat="1" applyFont="1" applyBorder="1" applyAlignment="1">
      <alignment horizontal="right"/>
    </xf>
    <xf numFmtId="2" fontId="98" fillId="0" borderId="36" xfId="0" applyNumberFormat="1" applyFont="1" applyBorder="1" applyAlignment="1">
      <alignment horizontal="right" wrapText="1"/>
    </xf>
    <xf numFmtId="3" fontId="94" fillId="0" borderId="36" xfId="0" applyNumberFormat="1" applyFont="1" applyBorder="1" applyAlignment="1">
      <alignment horizontal="right"/>
    </xf>
    <xf numFmtId="2" fontId="98" fillId="0" borderId="36" xfId="0" applyNumberFormat="1" applyFont="1" applyFill="1" applyBorder="1" applyAlignment="1">
      <alignment horizontal="right"/>
    </xf>
    <xf numFmtId="0" fontId="122" fillId="0" borderId="82" xfId="0" applyFont="1" applyBorder="1" applyAlignment="1">
      <alignment horizontal="center" vertical="center"/>
    </xf>
    <xf numFmtId="1" fontId="99" fillId="0" borderId="16" xfId="0" applyNumberFormat="1" applyFont="1" applyBorder="1" applyAlignment="1">
      <alignment horizontal="left" vertical="center"/>
    </xf>
    <xf numFmtId="1" fontId="99" fillId="0" borderId="14" xfId="0" applyNumberFormat="1" applyFont="1" applyBorder="1" applyAlignment="1">
      <alignment horizontal="left" vertical="center"/>
    </xf>
    <xf numFmtId="1" fontId="99" fillId="0" borderId="18" xfId="0" applyNumberFormat="1" applyFont="1" applyBorder="1" applyAlignment="1">
      <alignment horizontal="left" vertical="center"/>
    </xf>
    <xf numFmtId="1" fontId="99" fillId="0" borderId="17" xfId="0" applyNumberFormat="1" applyFont="1" applyBorder="1" applyAlignment="1">
      <alignment horizontal="left" vertical="center"/>
    </xf>
    <xf numFmtId="1" fontId="99" fillId="0" borderId="43" xfId="0" applyNumberFormat="1" applyFont="1" applyBorder="1" applyAlignment="1">
      <alignment horizontal="left" vertical="center"/>
    </xf>
    <xf numFmtId="1" fontId="124" fillId="0" borderId="17" xfId="0" applyNumberFormat="1" applyFont="1" applyBorder="1" applyAlignment="1">
      <alignment horizontal="left"/>
    </xf>
    <xf numFmtId="1" fontId="124" fillId="0" borderId="14" xfId="0" applyNumberFormat="1" applyFont="1" applyBorder="1" applyAlignment="1">
      <alignment horizontal="left"/>
    </xf>
    <xf numFmtId="1" fontId="124" fillId="0" borderId="18" xfId="0" applyNumberFormat="1" applyFont="1" applyBorder="1" applyAlignment="1">
      <alignment horizontal="left"/>
    </xf>
    <xf numFmtId="1" fontId="124" fillId="0" borderId="13" xfId="0" applyNumberFormat="1" applyFont="1" applyBorder="1" applyAlignment="1">
      <alignment horizontal="left"/>
    </xf>
    <xf numFmtId="1" fontId="124" fillId="0" borderId="12" xfId="0" applyNumberFormat="1" applyFont="1" applyBorder="1" applyAlignment="1">
      <alignment horizontal="left"/>
    </xf>
    <xf numFmtId="1" fontId="98" fillId="0" borderId="0" xfId="0" applyNumberFormat="1" applyFont="1" applyBorder="1" applyAlignment="1">
      <alignment horizontal="left"/>
    </xf>
    <xf numFmtId="1" fontId="124" fillId="0" borderId="32" xfId="0" applyNumberFormat="1" applyFont="1" applyBorder="1" applyAlignment="1">
      <alignment horizontal="left"/>
    </xf>
    <xf numFmtId="1" fontId="124" fillId="0" borderId="31" xfId="0" applyNumberFormat="1" applyFont="1" applyBorder="1" applyAlignment="1">
      <alignment horizontal="left"/>
    </xf>
    <xf numFmtId="1" fontId="99" fillId="0" borderId="10" xfId="0" applyNumberFormat="1" applyFont="1" applyFill="1" applyBorder="1" applyAlignment="1">
      <alignment horizontal="left"/>
    </xf>
    <xf numFmtId="1" fontId="99" fillId="0" borderId="11" xfId="42" applyNumberFormat="1" applyFont="1" applyBorder="1" applyAlignment="1">
      <alignment horizontal="left"/>
    </xf>
    <xf numFmtId="1" fontId="99" fillId="0" borderId="12" xfId="42" applyNumberFormat="1" applyFont="1" applyBorder="1" applyAlignment="1">
      <alignment horizontal="left"/>
    </xf>
    <xf numFmtId="1" fontId="99" fillId="0" borderId="10" xfId="42" applyNumberFormat="1" applyFont="1" applyBorder="1" applyAlignment="1">
      <alignment horizontal="left"/>
    </xf>
    <xf numFmtId="1" fontId="99" fillId="0" borderId="11" xfId="44" applyNumberFormat="1" applyFont="1" applyBorder="1" applyAlignment="1">
      <alignment horizontal="left"/>
    </xf>
    <xf numFmtId="1" fontId="99" fillId="0" borderId="12" xfId="44" applyNumberFormat="1" applyFont="1" applyBorder="1" applyAlignment="1">
      <alignment horizontal="left"/>
    </xf>
    <xf numFmtId="1" fontId="125" fillId="0" borderId="0" xfId="0" applyNumberFormat="1" applyFont="1" applyAlignment="1">
      <alignment horizontal="left"/>
    </xf>
    <xf numFmtId="1" fontId="7" fillId="0" borderId="10" xfId="0" applyNumberFormat="1" applyFont="1" applyBorder="1" applyAlignment="1">
      <alignment horizontal="left"/>
    </xf>
    <xf numFmtId="1" fontId="7" fillId="0" borderId="32" xfId="0" applyNumberFormat="1" applyFont="1" applyBorder="1" applyAlignment="1">
      <alignment horizontal="left"/>
    </xf>
    <xf numFmtId="1" fontId="7" fillId="0" borderId="31" xfId="0" applyNumberFormat="1" applyFont="1" applyBorder="1" applyAlignment="1">
      <alignment horizontal="left"/>
    </xf>
    <xf numFmtId="1" fontId="103" fillId="0" borderId="86" xfId="0" applyNumberFormat="1" applyFont="1" applyBorder="1" applyAlignment="1">
      <alignment horizontal="left"/>
    </xf>
    <xf numFmtId="1" fontId="99" fillId="0" borderId="10" xfId="44" applyNumberFormat="1" applyFont="1" applyBorder="1" applyAlignment="1">
      <alignment horizontal="left"/>
    </xf>
    <xf numFmtId="0" fontId="126" fillId="0" borderId="45" xfId="0" applyFont="1" applyBorder="1" applyAlignment="1">
      <alignment horizontal="left"/>
    </xf>
    <xf numFmtId="1" fontId="99" fillId="0" borderId="17" xfId="0" applyNumberFormat="1" applyFont="1" applyBorder="1" applyAlignment="1">
      <alignment horizontal="left"/>
    </xf>
    <xf numFmtId="1" fontId="99" fillId="0" borderId="18" xfId="0" applyNumberFormat="1" applyFont="1" applyFill="1" applyBorder="1" applyAlignment="1">
      <alignment horizontal="left"/>
    </xf>
    <xf numFmtId="1" fontId="99" fillId="0" borderId="14" xfId="44" applyNumberFormat="1" applyFont="1" applyBorder="1" applyAlignment="1">
      <alignment horizontal="left"/>
    </xf>
    <xf numFmtId="1" fontId="99" fillId="0" borderId="18" xfId="44" applyNumberFormat="1" applyFont="1" applyBorder="1" applyAlignment="1">
      <alignment horizontal="left"/>
    </xf>
    <xf numFmtId="1" fontId="100" fillId="0" borderId="14" xfId="0" applyNumberFormat="1" applyFont="1" applyBorder="1" applyAlignment="1">
      <alignment horizontal="left"/>
    </xf>
    <xf numFmtId="1" fontId="100" fillId="0" borderId="18" xfId="0" applyNumberFormat="1" applyFont="1" applyBorder="1" applyAlignment="1">
      <alignment horizontal="left"/>
    </xf>
    <xf numFmtId="1" fontId="99" fillId="0" borderId="14" xfId="0" applyNumberFormat="1" applyFont="1" applyFill="1" applyBorder="1" applyAlignment="1">
      <alignment horizontal="left"/>
    </xf>
    <xf numFmtId="1" fontId="99" fillId="0" borderId="14" xfId="42" applyNumberFormat="1" applyFont="1" applyBorder="1" applyAlignment="1">
      <alignment horizontal="left"/>
    </xf>
    <xf numFmtId="1" fontId="99" fillId="0" borderId="18" xfId="42" applyNumberFormat="1" applyFont="1" applyBorder="1" applyAlignment="1">
      <alignment horizontal="left"/>
    </xf>
    <xf numFmtId="1" fontId="99" fillId="0" borderId="44" xfId="0" applyNumberFormat="1" applyFont="1" applyBorder="1" applyAlignment="1">
      <alignment horizontal="left"/>
    </xf>
    <xf numFmtId="1" fontId="100" fillId="0" borderId="13" xfId="0" applyNumberFormat="1" applyFont="1" applyBorder="1" applyAlignment="1">
      <alignment horizontal="left"/>
    </xf>
    <xf numFmtId="1" fontId="100" fillId="0" borderId="12" xfId="0" applyNumberFormat="1" applyFont="1" applyBorder="1" applyAlignment="1">
      <alignment horizontal="left"/>
    </xf>
    <xf numFmtId="1" fontId="100" fillId="0" borderId="10" xfId="0" applyNumberFormat="1" applyFont="1" applyBorder="1" applyAlignment="1">
      <alignment horizontal="left"/>
    </xf>
    <xf numFmtId="1" fontId="91" fillId="0" borderId="0" xfId="0" applyNumberFormat="1" applyFont="1" applyAlignment="1">
      <alignment horizontal="left"/>
    </xf>
    <xf numFmtId="1" fontId="91" fillId="0" borderId="13" xfId="44" applyNumberFormat="1" applyFont="1" applyBorder="1" applyAlignment="1">
      <alignment horizontal="left"/>
    </xf>
    <xf numFmtId="1" fontId="91" fillId="0" borderId="12" xfId="44" applyNumberFormat="1" applyFont="1" applyBorder="1" applyAlignment="1">
      <alignment horizontal="left"/>
    </xf>
    <xf numFmtId="1" fontId="91" fillId="0" borderId="13" xfId="0" applyNumberFormat="1" applyFont="1" applyBorder="1" applyAlignment="1">
      <alignment horizontal="left" wrapText="1"/>
    </xf>
    <xf numFmtId="1" fontId="91" fillId="0" borderId="13" xfId="0" applyNumberFormat="1" applyFont="1" applyFill="1" applyBorder="1" applyAlignment="1">
      <alignment horizontal="left"/>
    </xf>
    <xf numFmtId="1" fontId="91" fillId="0" borderId="12" xfId="0" applyNumberFormat="1" applyFont="1" applyFill="1" applyBorder="1" applyAlignment="1">
      <alignment horizontal="left"/>
    </xf>
    <xf numFmtId="1" fontId="91" fillId="0" borderId="10" xfId="0" applyNumberFormat="1" applyFont="1" applyFill="1" applyBorder="1" applyAlignment="1">
      <alignment horizontal="left"/>
    </xf>
    <xf numFmtId="1" fontId="91" fillId="0" borderId="0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left"/>
    </xf>
    <xf numFmtId="1" fontId="91" fillId="0" borderId="44" xfId="0" applyNumberFormat="1" applyFont="1" applyBorder="1" applyAlignment="1">
      <alignment horizontal="left" vertical="center"/>
    </xf>
    <xf numFmtId="1" fontId="100" fillId="0" borderId="17" xfId="0" applyNumberFormat="1" applyFont="1" applyBorder="1" applyAlignment="1">
      <alignment horizontal="left"/>
    </xf>
    <xf numFmtId="1" fontId="91" fillId="0" borderId="19" xfId="0" applyNumberFormat="1" applyFont="1" applyBorder="1" applyAlignment="1">
      <alignment horizontal="left" vertical="center"/>
    </xf>
    <xf numFmtId="0" fontId="107" fillId="0" borderId="77" xfId="0" applyFont="1" applyBorder="1" applyAlignment="1">
      <alignment horizontal="left"/>
    </xf>
    <xf numFmtId="1" fontId="92" fillId="0" borderId="19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" fontId="3" fillId="0" borderId="75" xfId="0" applyNumberFormat="1" applyFont="1" applyBorder="1" applyAlignment="1">
      <alignment horizontal="left" vertical="center"/>
    </xf>
    <xf numFmtId="1" fontId="3" fillId="0" borderId="51" xfId="0" applyNumberFormat="1" applyFont="1" applyBorder="1" applyAlignment="1">
      <alignment horizontal="left" vertical="center"/>
    </xf>
    <xf numFmtId="1" fontId="6" fillId="0" borderId="50" xfId="0" applyNumberFormat="1" applyFont="1" applyBorder="1" applyAlignment="1">
      <alignment horizontal="left"/>
    </xf>
    <xf numFmtId="1" fontId="6" fillId="0" borderId="51" xfId="0" applyNumberFormat="1" applyFont="1" applyBorder="1" applyAlignment="1">
      <alignment horizontal="left"/>
    </xf>
    <xf numFmtId="1" fontId="6" fillId="0" borderId="74" xfId="0" applyNumberFormat="1" applyFont="1" applyBorder="1" applyAlignment="1">
      <alignment horizontal="left"/>
    </xf>
    <xf numFmtId="1" fontId="6" fillId="0" borderId="75" xfId="0" applyNumberFormat="1" applyFont="1" applyBorder="1" applyAlignment="1">
      <alignment horizontal="left"/>
    </xf>
    <xf numFmtId="1" fontId="3" fillId="0" borderId="50" xfId="0" applyNumberFormat="1" applyFont="1" applyBorder="1" applyAlignment="1">
      <alignment horizontal="left"/>
    </xf>
    <xf numFmtId="1" fontId="3" fillId="0" borderId="51" xfId="0" applyNumberFormat="1" applyFont="1" applyBorder="1" applyAlignment="1">
      <alignment horizontal="left"/>
    </xf>
    <xf numFmtId="1" fontId="3" fillId="0" borderId="74" xfId="0" applyNumberFormat="1" applyFont="1" applyBorder="1" applyAlignment="1">
      <alignment horizontal="left"/>
    </xf>
    <xf numFmtId="1" fontId="3" fillId="0" borderId="75" xfId="0" applyNumberFormat="1" applyFont="1" applyBorder="1" applyAlignment="1">
      <alignment horizontal="left"/>
    </xf>
    <xf numFmtId="2" fontId="6" fillId="0" borderId="75" xfId="0" applyNumberFormat="1" applyFont="1" applyBorder="1" applyAlignment="1">
      <alignment horizontal="left" wrapText="1"/>
    </xf>
    <xf numFmtId="2" fontId="6" fillId="0" borderId="51" xfId="0" applyNumberFormat="1" applyFont="1" applyBorder="1" applyAlignment="1">
      <alignment horizontal="left"/>
    </xf>
    <xf numFmtId="2" fontId="6" fillId="0" borderId="74" xfId="0" applyNumberFormat="1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74" xfId="0" applyFont="1" applyBorder="1" applyAlignment="1">
      <alignment horizontal="left"/>
    </xf>
    <xf numFmtId="1" fontId="6" fillId="0" borderId="50" xfId="0" applyNumberFormat="1" applyFont="1" applyFill="1" applyBorder="1" applyAlignment="1">
      <alignment horizontal="left"/>
    </xf>
    <xf numFmtId="1" fontId="6" fillId="0" borderId="51" xfId="0" applyNumberFormat="1" applyFont="1" applyFill="1" applyBorder="1" applyAlignment="1">
      <alignment horizontal="left"/>
    </xf>
    <xf numFmtId="1" fontId="6" fillId="0" borderId="74" xfId="0" applyNumberFormat="1" applyFont="1" applyFill="1" applyBorder="1" applyAlignment="1">
      <alignment horizontal="left"/>
    </xf>
    <xf numFmtId="1" fontId="6" fillId="0" borderId="50" xfId="42" applyNumberFormat="1" applyFont="1" applyBorder="1" applyAlignment="1">
      <alignment horizontal="left"/>
    </xf>
    <xf numFmtId="1" fontId="6" fillId="0" borderId="51" xfId="42" applyNumberFormat="1" applyFont="1" applyBorder="1" applyAlignment="1">
      <alignment horizontal="left"/>
    </xf>
    <xf numFmtId="1" fontId="6" fillId="0" borderId="74" xfId="42" applyNumberFormat="1" applyFont="1" applyBorder="1" applyAlignment="1">
      <alignment horizontal="left"/>
    </xf>
    <xf numFmtId="1" fontId="6" fillId="0" borderId="75" xfId="42" applyNumberFormat="1" applyFont="1" applyBorder="1" applyAlignment="1">
      <alignment horizontal="left"/>
    </xf>
    <xf numFmtId="1" fontId="3" fillId="0" borderId="25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" fontId="7" fillId="0" borderId="11" xfId="0" applyNumberFormat="1" applyFont="1" applyBorder="1" applyAlignment="1">
      <alignment horizontal="left"/>
    </xf>
    <xf numFmtId="1" fontId="99" fillId="0" borderId="16" xfId="44" applyNumberFormat="1" applyFont="1" applyBorder="1" applyAlignment="1">
      <alignment horizontal="left"/>
    </xf>
    <xf numFmtId="1" fontId="99" fillId="0" borderId="16" xfId="0" applyNumberFormat="1" applyFont="1" applyBorder="1" applyAlignment="1">
      <alignment horizontal="left" wrapText="1"/>
    </xf>
    <xf numFmtId="1" fontId="100" fillId="0" borderId="16" xfId="0" applyNumberFormat="1" applyFont="1" applyBorder="1" applyAlignment="1">
      <alignment horizontal="left"/>
    </xf>
    <xf numFmtId="1" fontId="99" fillId="0" borderId="16" xfId="0" applyNumberFormat="1" applyFont="1" applyFill="1" applyBorder="1" applyAlignment="1">
      <alignment horizontal="left"/>
    </xf>
    <xf numFmtId="1" fontId="99" fillId="0" borderId="16" xfId="42" applyNumberFormat="1" applyFont="1" applyBorder="1" applyAlignment="1">
      <alignment horizontal="left"/>
    </xf>
    <xf numFmtId="1" fontId="99" fillId="0" borderId="44" xfId="42" applyNumberFormat="1" applyFont="1" applyBorder="1" applyAlignment="1">
      <alignment horizontal="left"/>
    </xf>
    <xf numFmtId="1" fontId="99" fillId="0" borderId="11" xfId="0" applyNumberFormat="1" applyFont="1" applyBorder="1" applyAlignment="1">
      <alignment horizontal="left" wrapText="1"/>
    </xf>
    <xf numFmtId="1" fontId="100" fillId="0" borderId="11" xfId="0" applyNumberFormat="1" applyFont="1" applyBorder="1" applyAlignment="1">
      <alignment horizontal="left"/>
    </xf>
    <xf numFmtId="1" fontId="99" fillId="0" borderId="11" xfId="0" applyNumberFormat="1" applyFont="1" applyFill="1" applyBorder="1" applyAlignment="1">
      <alignment horizontal="left"/>
    </xf>
    <xf numFmtId="1" fontId="99" fillId="0" borderId="24" xfId="42" applyNumberFormat="1" applyFont="1" applyBorder="1" applyAlignment="1">
      <alignment horizontal="left"/>
    </xf>
    <xf numFmtId="0" fontId="114" fillId="0" borderId="60" xfId="0" applyFont="1" applyBorder="1" applyAlignment="1">
      <alignment horizontal="left"/>
    </xf>
    <xf numFmtId="0" fontId="116" fillId="0" borderId="80" xfId="0" applyFont="1" applyBorder="1" applyAlignment="1">
      <alignment horizontal="left"/>
    </xf>
    <xf numFmtId="0" fontId="116" fillId="0" borderId="83" xfId="0" applyFont="1" applyBorder="1" applyAlignment="1">
      <alignment horizontal="left"/>
    </xf>
    <xf numFmtId="0" fontId="116" fillId="0" borderId="85" xfId="0" applyFont="1" applyBorder="1" applyAlignment="1">
      <alignment horizontal="left"/>
    </xf>
    <xf numFmtId="1" fontId="91" fillId="0" borderId="31" xfId="0" applyNumberFormat="1" applyFont="1" applyBorder="1" applyAlignment="1">
      <alignment horizontal="left" vertical="center"/>
    </xf>
    <xf numFmtId="1" fontId="91" fillId="0" borderId="33" xfId="0" applyNumberFormat="1" applyFont="1" applyBorder="1" applyAlignment="1">
      <alignment horizontal="left" vertical="center"/>
    </xf>
    <xf numFmtId="1" fontId="107" fillId="0" borderId="84" xfId="0" applyNumberFormat="1" applyFont="1" applyBorder="1" applyAlignment="1">
      <alignment horizontal="left" vertical="center"/>
    </xf>
    <xf numFmtId="1" fontId="107" fillId="0" borderId="81" xfId="0" applyNumberFormat="1" applyFont="1" applyBorder="1" applyAlignment="1">
      <alignment horizontal="left" vertical="center"/>
    </xf>
    <xf numFmtId="1" fontId="91" fillId="0" borderId="31" xfId="0" applyNumberFormat="1" applyFont="1" applyBorder="1" applyAlignment="1">
      <alignment horizontal="left"/>
    </xf>
    <xf numFmtId="1" fontId="91" fillId="0" borderId="33" xfId="0" applyNumberFormat="1" applyFont="1" applyBorder="1" applyAlignment="1">
      <alignment horizontal="left"/>
    </xf>
    <xf numFmtId="1" fontId="91" fillId="0" borderId="32" xfId="44" applyNumberFormat="1" applyFont="1" applyBorder="1" applyAlignment="1">
      <alignment horizontal="left"/>
    </xf>
    <xf numFmtId="1" fontId="91" fillId="0" borderId="31" xfId="44" applyNumberFormat="1" applyFont="1" applyBorder="1" applyAlignment="1">
      <alignment horizontal="left"/>
    </xf>
    <xf numFmtId="1" fontId="91" fillId="0" borderId="32" xfId="0" applyNumberFormat="1" applyFont="1" applyBorder="1" applyAlignment="1">
      <alignment horizontal="left" wrapText="1"/>
    </xf>
    <xf numFmtId="1" fontId="100" fillId="0" borderId="32" xfId="0" applyNumberFormat="1" applyFont="1" applyBorder="1" applyAlignment="1">
      <alignment horizontal="left"/>
    </xf>
    <xf numFmtId="1" fontId="100" fillId="0" borderId="31" xfId="0" applyNumberFormat="1" applyFont="1" applyBorder="1" applyAlignment="1">
      <alignment horizontal="left"/>
    </xf>
    <xf numFmtId="1" fontId="100" fillId="0" borderId="33" xfId="0" applyNumberFormat="1" applyFont="1" applyBorder="1" applyAlignment="1">
      <alignment horizontal="left"/>
    </xf>
    <xf numFmtId="1" fontId="91" fillId="0" borderId="32" xfId="0" applyNumberFormat="1" applyFont="1" applyFill="1" applyBorder="1" applyAlignment="1">
      <alignment horizontal="left"/>
    </xf>
    <xf numFmtId="1" fontId="91" fillId="0" borderId="31" xfId="0" applyNumberFormat="1" applyFont="1" applyFill="1" applyBorder="1" applyAlignment="1">
      <alignment horizontal="left"/>
    </xf>
    <xf numFmtId="1" fontId="91" fillId="0" borderId="33" xfId="0" applyNumberFormat="1" applyFont="1" applyFill="1" applyBorder="1" applyAlignment="1">
      <alignment horizontal="left"/>
    </xf>
    <xf numFmtId="1" fontId="91" fillId="0" borderId="32" xfId="42" applyNumberFormat="1" applyFont="1" applyBorder="1" applyAlignment="1">
      <alignment horizontal="left"/>
    </xf>
    <xf numFmtId="1" fontId="91" fillId="0" borderId="31" xfId="42" applyNumberFormat="1" applyFont="1" applyBorder="1" applyAlignment="1">
      <alignment horizontal="left"/>
    </xf>
    <xf numFmtId="1" fontId="91" fillId="0" borderId="33" xfId="42" applyNumberFormat="1" applyFont="1" applyBorder="1" applyAlignment="1">
      <alignment horizontal="left"/>
    </xf>
    <xf numFmtId="1" fontId="91" fillId="0" borderId="75" xfId="0" applyNumberFormat="1" applyFont="1" applyBorder="1" applyAlignment="1">
      <alignment horizontal="left" vertical="center"/>
    </xf>
    <xf numFmtId="1" fontId="91" fillId="0" borderId="51" xfId="0" applyNumberFormat="1" applyFont="1" applyBorder="1" applyAlignment="1">
      <alignment horizontal="left" vertical="center"/>
    </xf>
    <xf numFmtId="1" fontId="91" fillId="0" borderId="74" xfId="0" applyNumberFormat="1" applyFont="1" applyBorder="1" applyAlignment="1">
      <alignment horizontal="left" vertical="center"/>
    </xf>
    <xf numFmtId="1" fontId="92" fillId="0" borderId="50" xfId="0" applyNumberFormat="1" applyFont="1" applyBorder="1" applyAlignment="1">
      <alignment horizontal="left"/>
    </xf>
    <xf numFmtId="1" fontId="92" fillId="0" borderId="51" xfId="0" applyNumberFormat="1" applyFont="1" applyBorder="1" applyAlignment="1">
      <alignment horizontal="left"/>
    </xf>
    <xf numFmtId="1" fontId="92" fillId="0" borderId="74" xfId="0" applyNumberFormat="1" applyFont="1" applyBorder="1" applyAlignment="1">
      <alignment horizontal="left"/>
    </xf>
    <xf numFmtId="2" fontId="92" fillId="0" borderId="51" xfId="0" applyNumberFormat="1" applyFont="1" applyBorder="1" applyAlignment="1">
      <alignment horizontal="left"/>
    </xf>
    <xf numFmtId="2" fontId="92" fillId="0" borderId="74" xfId="0" applyNumberFormat="1" applyFont="1" applyBorder="1" applyAlignment="1">
      <alignment horizontal="left"/>
    </xf>
    <xf numFmtId="1" fontId="92" fillId="0" borderId="88" xfId="0" applyNumberFormat="1" applyFont="1" applyBorder="1" applyAlignment="1">
      <alignment horizontal="left"/>
    </xf>
    <xf numFmtId="0" fontId="92" fillId="0" borderId="75" xfId="0" applyFont="1" applyBorder="1" applyAlignment="1">
      <alignment horizontal="left"/>
    </xf>
    <xf numFmtId="0" fontId="92" fillId="0" borderId="51" xfId="0" applyFont="1" applyBorder="1" applyAlignment="1">
      <alignment horizontal="left"/>
    </xf>
    <xf numFmtId="0" fontId="92" fillId="0" borderId="74" xfId="0" applyFont="1" applyBorder="1" applyAlignment="1">
      <alignment horizontal="left"/>
    </xf>
    <xf numFmtId="2" fontId="92" fillId="0" borderId="50" xfId="0" applyNumberFormat="1" applyFont="1" applyBorder="1" applyAlignment="1">
      <alignment horizontal="left" wrapText="1"/>
    </xf>
    <xf numFmtId="0" fontId="95" fillId="0" borderId="50" xfId="0" applyFont="1" applyBorder="1" applyAlignment="1">
      <alignment horizontal="left"/>
    </xf>
    <xf numFmtId="0" fontId="95" fillId="0" borderId="51" xfId="0" applyFont="1" applyBorder="1" applyAlignment="1">
      <alignment horizontal="left"/>
    </xf>
    <xf numFmtId="0" fontId="95" fillId="0" borderId="74" xfId="0" applyFont="1" applyBorder="1" applyAlignment="1">
      <alignment horizontal="left"/>
    </xf>
    <xf numFmtId="1" fontId="92" fillId="0" borderId="50" xfId="0" applyNumberFormat="1" applyFont="1" applyFill="1" applyBorder="1" applyAlignment="1">
      <alignment horizontal="left"/>
    </xf>
    <xf numFmtId="1" fontId="92" fillId="0" borderId="51" xfId="0" applyNumberFormat="1" applyFont="1" applyFill="1" applyBorder="1" applyAlignment="1">
      <alignment horizontal="left"/>
    </xf>
    <xf numFmtId="1" fontId="92" fillId="0" borderId="74" xfId="0" applyNumberFormat="1" applyFont="1" applyFill="1" applyBorder="1" applyAlignment="1">
      <alignment horizontal="left"/>
    </xf>
    <xf numFmtId="1" fontId="92" fillId="0" borderId="50" xfId="42" applyNumberFormat="1" applyFont="1" applyBorder="1" applyAlignment="1">
      <alignment horizontal="left"/>
    </xf>
    <xf numFmtId="1" fontId="92" fillId="0" borderId="51" xfId="42" applyNumberFormat="1" applyFont="1" applyBorder="1" applyAlignment="1">
      <alignment horizontal="left"/>
    </xf>
    <xf numFmtId="1" fontId="92" fillId="0" borderId="74" xfId="42" applyNumberFormat="1" applyFont="1" applyBorder="1" applyAlignment="1">
      <alignment horizontal="left"/>
    </xf>
    <xf numFmtId="1" fontId="91" fillId="0" borderId="50" xfId="0" applyNumberFormat="1" applyFont="1" applyBorder="1" applyAlignment="1">
      <alignment horizontal="left" vertical="center"/>
    </xf>
    <xf numFmtId="1" fontId="91" fillId="0" borderId="25" xfId="0" applyNumberFormat="1" applyFont="1" applyBorder="1" applyAlignment="1">
      <alignment horizontal="left" vertical="center"/>
    </xf>
    <xf numFmtId="3" fontId="94" fillId="0" borderId="25" xfId="0" applyNumberFormat="1" applyFont="1" applyBorder="1" applyAlignment="1">
      <alignment horizontal="left"/>
    </xf>
    <xf numFmtId="0" fontId="102" fillId="0" borderId="50" xfId="0" applyFont="1" applyBorder="1" applyAlignment="1">
      <alignment/>
    </xf>
    <xf numFmtId="0" fontId="97" fillId="0" borderId="29" xfId="0" applyFont="1" applyBorder="1" applyAlignment="1">
      <alignment horizontal="left"/>
    </xf>
    <xf numFmtId="0" fontId="97" fillId="0" borderId="27" xfId="0" applyFont="1" applyBorder="1" applyAlignment="1">
      <alignment horizontal="left"/>
    </xf>
    <xf numFmtId="0" fontId="97" fillId="0" borderId="54" xfId="0" applyFont="1" applyBorder="1" applyAlignment="1">
      <alignment horizontal="left"/>
    </xf>
    <xf numFmtId="0" fontId="97" fillId="0" borderId="62" xfId="0" applyFont="1" applyBorder="1" applyAlignment="1">
      <alignment horizontal="left"/>
    </xf>
    <xf numFmtId="0" fontId="97" fillId="0" borderId="68" xfId="0" applyFont="1" applyBorder="1" applyAlignment="1">
      <alignment horizontal="left"/>
    </xf>
    <xf numFmtId="0" fontId="97" fillId="0" borderId="28" xfId="0" applyFont="1" applyBorder="1" applyAlignment="1">
      <alignment horizontal="left"/>
    </xf>
    <xf numFmtId="0" fontId="98" fillId="0" borderId="29" xfId="0" applyFont="1" applyBorder="1" applyAlignment="1">
      <alignment horizontal="left"/>
    </xf>
    <xf numFmtId="0" fontId="91" fillId="0" borderId="68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center" vertical="justify" wrapText="1"/>
    </xf>
    <xf numFmtId="0" fontId="5" fillId="0" borderId="79" xfId="0" applyFont="1" applyBorder="1" applyAlignment="1">
      <alignment horizontal="center" vertical="justify" wrapText="1"/>
    </xf>
    <xf numFmtId="0" fontId="5" fillId="0" borderId="81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2" fontId="92" fillId="0" borderId="10" xfId="0" applyNumberFormat="1" applyFont="1" applyBorder="1" applyAlignment="1">
      <alignment horizontal="left" vertical="center"/>
    </xf>
    <xf numFmtId="1" fontId="5" fillId="0" borderId="82" xfId="0" applyNumberFormat="1" applyFont="1" applyBorder="1" applyAlignment="1">
      <alignment horizontal="center" vertical="justify" wrapText="1"/>
    </xf>
    <xf numFmtId="1" fontId="5" fillId="0" borderId="79" xfId="0" applyNumberFormat="1" applyFont="1" applyBorder="1" applyAlignment="1">
      <alignment horizontal="center" vertical="justify" wrapText="1"/>
    </xf>
    <xf numFmtId="0" fontId="5" fillId="0" borderId="87" xfId="0" applyFont="1" applyBorder="1" applyAlignment="1">
      <alignment horizontal="center" vertical="justify" wrapText="1"/>
    </xf>
    <xf numFmtId="0" fontId="5" fillId="0" borderId="72" xfId="0" applyFont="1" applyBorder="1" applyAlignment="1">
      <alignment horizontal="center" vertical="justify" wrapText="1"/>
    </xf>
    <xf numFmtId="0" fontId="5" fillId="0" borderId="73" xfId="0" applyFont="1" applyBorder="1" applyAlignment="1">
      <alignment horizontal="center" vertical="justify" wrapText="1"/>
    </xf>
    <xf numFmtId="2" fontId="3" fillId="0" borderId="49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2" fontId="3" fillId="0" borderId="74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11" fillId="0" borderId="49" xfId="0" applyFont="1" applyBorder="1" applyAlignment="1">
      <alignment horizontal="left"/>
    </xf>
    <xf numFmtId="0" fontId="11" fillId="0" borderId="49" xfId="0" applyFont="1" applyFill="1" applyBorder="1" applyAlignment="1">
      <alignment horizontal="right"/>
    </xf>
    <xf numFmtId="1" fontId="3" fillId="0" borderId="16" xfId="0" applyNumberFormat="1" applyFont="1" applyBorder="1" applyAlignment="1">
      <alignment horizontal="left" vertical="center"/>
    </xf>
    <xf numFmtId="2" fontId="3" fillId="0" borderId="43" xfId="0" applyNumberFormat="1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justify" wrapText="1"/>
    </xf>
    <xf numFmtId="0" fontId="5" fillId="0" borderId="56" xfId="0" applyFont="1" applyBorder="1" applyAlignment="1">
      <alignment horizontal="center" vertical="justify" wrapText="1"/>
    </xf>
    <xf numFmtId="0" fontId="5" fillId="0" borderId="58" xfId="0" applyFont="1" applyBorder="1" applyAlignment="1">
      <alignment horizontal="center" vertical="justify" wrapText="1"/>
    </xf>
    <xf numFmtId="0" fontId="127" fillId="0" borderId="49" xfId="0" applyFont="1" applyBorder="1" applyAlignment="1">
      <alignment horizontal="left"/>
    </xf>
    <xf numFmtId="0" fontId="128" fillId="0" borderId="11" xfId="0" applyFont="1" applyBorder="1" applyAlignment="1">
      <alignment horizontal="left"/>
    </xf>
    <xf numFmtId="0" fontId="128" fillId="0" borderId="12" xfId="0" applyFont="1" applyBorder="1" applyAlignment="1">
      <alignment horizontal="left"/>
    </xf>
    <xf numFmtId="3" fontId="102" fillId="0" borderId="11" xfId="0" applyNumberFormat="1" applyFont="1" applyBorder="1" applyAlignment="1">
      <alignment horizontal="left"/>
    </xf>
    <xf numFmtId="3" fontId="102" fillId="0" borderId="12" xfId="0" applyNumberFormat="1" applyFont="1" applyBorder="1" applyAlignment="1">
      <alignment horizontal="left"/>
    </xf>
    <xf numFmtId="3" fontId="102" fillId="0" borderId="10" xfId="0" applyNumberFormat="1" applyFont="1" applyBorder="1" applyAlignment="1">
      <alignment horizontal="left"/>
    </xf>
    <xf numFmtId="1" fontId="119" fillId="0" borderId="81" xfId="42" applyNumberFormat="1" applyFont="1" applyBorder="1" applyAlignment="1">
      <alignment horizontal="left"/>
    </xf>
    <xf numFmtId="2" fontId="91" fillId="0" borderId="24" xfId="42" applyNumberFormat="1" applyFont="1" applyBorder="1" applyAlignment="1">
      <alignment horizontal="left"/>
    </xf>
    <xf numFmtId="0" fontId="91" fillId="0" borderId="47" xfId="0" applyFont="1" applyBorder="1" applyAlignment="1">
      <alignment horizontal="left"/>
    </xf>
    <xf numFmtId="0" fontId="91" fillId="0" borderId="48" xfId="0" applyFont="1" applyBorder="1" applyAlignment="1">
      <alignment horizontal="left"/>
    </xf>
    <xf numFmtId="1" fontId="119" fillId="0" borderId="73" xfId="0" applyNumberFormat="1" applyFont="1" applyBorder="1" applyAlignment="1">
      <alignment horizontal="center" vertical="justify" wrapText="1"/>
    </xf>
    <xf numFmtId="1" fontId="119" fillId="0" borderId="82" xfId="0" applyNumberFormat="1" applyFont="1" applyBorder="1" applyAlignment="1">
      <alignment horizontal="center" vertical="justify" wrapText="1"/>
    </xf>
    <xf numFmtId="0" fontId="97" fillId="0" borderId="19" xfId="0" applyFont="1" applyBorder="1" applyAlignment="1">
      <alignment horizontal="left"/>
    </xf>
    <xf numFmtId="1" fontId="119" fillId="0" borderId="80" xfId="0" applyNumberFormat="1" applyFont="1" applyBorder="1" applyAlignment="1">
      <alignment horizontal="center" vertical="justify" wrapText="1"/>
    </xf>
    <xf numFmtId="1" fontId="119" fillId="0" borderId="85" xfId="0" applyNumberFormat="1" applyFont="1" applyBorder="1" applyAlignment="1">
      <alignment horizontal="center" vertical="justify" wrapText="1"/>
    </xf>
    <xf numFmtId="1" fontId="119" fillId="0" borderId="84" xfId="0" applyNumberFormat="1" applyFont="1" applyBorder="1" applyAlignment="1">
      <alignment horizontal="center" vertical="justify" wrapText="1"/>
    </xf>
    <xf numFmtId="0" fontId="97" fillId="0" borderId="11" xfId="0" applyFont="1" applyBorder="1" applyAlignment="1">
      <alignment horizontal="left"/>
    </xf>
    <xf numFmtId="0" fontId="97" fillId="0" borderId="10" xfId="0" applyFont="1" applyBorder="1" applyAlignment="1">
      <alignment horizontal="left"/>
    </xf>
    <xf numFmtId="0" fontId="115" fillId="0" borderId="23" xfId="0" applyFont="1" applyBorder="1" applyAlignment="1">
      <alignment horizontal="left"/>
    </xf>
    <xf numFmtId="0" fontId="97" fillId="0" borderId="16" xfId="0" applyFont="1" applyBorder="1" applyAlignment="1">
      <alignment horizontal="left"/>
    </xf>
    <xf numFmtId="0" fontId="97" fillId="0" borderId="18" xfId="0" applyFont="1" applyBorder="1" applyAlignment="1">
      <alignment horizontal="left"/>
    </xf>
    <xf numFmtId="0" fontId="95" fillId="0" borderId="86" xfId="0" applyFont="1" applyBorder="1" applyAlignment="1">
      <alignment horizontal="left"/>
    </xf>
    <xf numFmtId="0" fontId="116" fillId="0" borderId="70" xfId="0" applyFont="1" applyBorder="1" applyAlignment="1">
      <alignment horizontal="left"/>
    </xf>
    <xf numFmtId="1" fontId="119" fillId="0" borderId="60" xfId="0" applyNumberFormat="1" applyFont="1" applyBorder="1" applyAlignment="1">
      <alignment horizontal="center" vertical="justify" wrapText="1"/>
    </xf>
    <xf numFmtId="0" fontId="97" fillId="0" borderId="47" xfId="0" applyFont="1" applyBorder="1" applyAlignment="1">
      <alignment horizontal="left"/>
    </xf>
    <xf numFmtId="0" fontId="97" fillId="0" borderId="49" xfId="0" applyFont="1" applyBorder="1" applyAlignment="1">
      <alignment horizontal="left"/>
    </xf>
    <xf numFmtId="0" fontId="99" fillId="0" borderId="19" xfId="0" applyFont="1" applyBorder="1" applyAlignment="1">
      <alignment vertical="center"/>
    </xf>
    <xf numFmtId="2" fontId="98" fillId="0" borderId="29" xfId="0" applyNumberFormat="1" applyFont="1" applyBorder="1" applyAlignment="1">
      <alignment vertical="center"/>
    </xf>
    <xf numFmtId="2" fontId="99" fillId="0" borderId="29" xfId="0" applyNumberFormat="1" applyFont="1" applyBorder="1" applyAlignment="1">
      <alignment vertical="center"/>
    </xf>
    <xf numFmtId="2" fontId="98" fillId="0" borderId="36" xfId="0" applyNumberFormat="1" applyFont="1" applyBorder="1" applyAlignment="1">
      <alignment vertical="center"/>
    </xf>
    <xf numFmtId="2" fontId="98" fillId="0" borderId="25" xfId="0" applyNumberFormat="1" applyFont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0" fontId="104" fillId="0" borderId="0" xfId="0" applyFont="1" applyBorder="1" applyAlignment="1">
      <alignment horizontal="left"/>
    </xf>
    <xf numFmtId="0" fontId="122" fillId="0" borderId="60" xfId="0" applyFont="1" applyBorder="1" applyAlignment="1">
      <alignment horizontal="left"/>
    </xf>
    <xf numFmtId="1" fontId="92" fillId="0" borderId="15" xfId="0" applyNumberFormat="1" applyFont="1" applyBorder="1" applyAlignment="1">
      <alignment horizontal="left" wrapText="1"/>
    </xf>
    <xf numFmtId="1" fontId="92" fillId="0" borderId="36" xfId="0" applyNumberFormat="1" applyFont="1" applyBorder="1" applyAlignment="1">
      <alignment horizontal="left"/>
    </xf>
    <xf numFmtId="1" fontId="92" fillId="0" borderId="76" xfId="42" applyNumberFormat="1" applyFont="1" applyBorder="1" applyAlignment="1">
      <alignment horizontal="left"/>
    </xf>
    <xf numFmtId="1" fontId="92" fillId="0" borderId="28" xfId="42" applyNumberFormat="1" applyFont="1" applyBorder="1" applyAlignment="1">
      <alignment horizontal="left"/>
    </xf>
    <xf numFmtId="1" fontId="91" fillId="0" borderId="28" xfId="0" applyNumberFormat="1" applyFont="1" applyBorder="1" applyAlignment="1">
      <alignment horizontal="left"/>
    </xf>
    <xf numFmtId="1" fontId="92" fillId="0" borderId="28" xfId="0" applyNumberFormat="1" applyFont="1" applyBorder="1" applyAlignment="1">
      <alignment horizontal="left"/>
    </xf>
    <xf numFmtId="1" fontId="92" fillId="0" borderId="35" xfId="42" applyNumberFormat="1" applyFont="1" applyBorder="1" applyAlignment="1">
      <alignment horizontal="left"/>
    </xf>
    <xf numFmtId="2" fontId="116" fillId="0" borderId="79" xfId="0" applyNumberFormat="1" applyFont="1" applyBorder="1" applyAlignment="1">
      <alignment horizontal="left"/>
    </xf>
    <xf numFmtId="0" fontId="116" fillId="0" borderId="87" xfId="0" applyFont="1" applyFill="1" applyBorder="1" applyAlignment="1">
      <alignment horizontal="left" vertical="justify" wrapText="1"/>
    </xf>
    <xf numFmtId="0" fontId="116" fillId="0" borderId="60" xfId="0" applyFont="1" applyFill="1" applyBorder="1" applyAlignment="1">
      <alignment horizontal="left" vertical="justify" wrapText="1"/>
    </xf>
    <xf numFmtId="1" fontId="91" fillId="0" borderId="47" xfId="0" applyNumberFormat="1" applyFont="1" applyBorder="1" applyAlignment="1">
      <alignment horizontal="left"/>
    </xf>
    <xf numFmtId="2" fontId="116" fillId="0" borderId="23" xfId="0" applyNumberFormat="1" applyFont="1" applyBorder="1" applyAlignment="1">
      <alignment horizontal="left"/>
    </xf>
    <xf numFmtId="0" fontId="119" fillId="0" borderId="47" xfId="0" applyFont="1" applyBorder="1" applyAlignment="1">
      <alignment horizontal="left"/>
    </xf>
    <xf numFmtId="0" fontId="119" fillId="0" borderId="49" xfId="0" applyFont="1" applyBorder="1" applyAlignment="1">
      <alignment horizontal="left"/>
    </xf>
    <xf numFmtId="0" fontId="101" fillId="0" borderId="10" xfId="0" applyFont="1" applyBorder="1" applyAlignment="1">
      <alignment horizontal="left"/>
    </xf>
    <xf numFmtId="3" fontId="119" fillId="0" borderId="11" xfId="0" applyNumberFormat="1" applyFont="1" applyBorder="1" applyAlignment="1">
      <alignment horizontal="left"/>
    </xf>
    <xf numFmtId="0" fontId="119" fillId="0" borderId="10" xfId="0" applyFont="1" applyBorder="1" applyAlignment="1">
      <alignment horizontal="left"/>
    </xf>
    <xf numFmtId="3" fontId="102" fillId="0" borderId="23" xfId="0" applyNumberFormat="1" applyFont="1" applyBorder="1" applyAlignment="1">
      <alignment horizontal="left"/>
    </xf>
    <xf numFmtId="0" fontId="102" fillId="0" borderId="22" xfId="0" applyFont="1" applyBorder="1" applyAlignment="1">
      <alignment horizontal="left"/>
    </xf>
    <xf numFmtId="0" fontId="119" fillId="0" borderId="87" xfId="0" applyFont="1" applyBorder="1" applyAlignment="1">
      <alignment horizontal="left"/>
    </xf>
    <xf numFmtId="0" fontId="103" fillId="0" borderId="86" xfId="0" applyFont="1" applyBorder="1" applyAlignment="1">
      <alignment horizontal="left"/>
    </xf>
    <xf numFmtId="0" fontId="101" fillId="0" borderId="70" xfId="0" applyFont="1" applyBorder="1" applyAlignment="1">
      <alignment horizontal="left"/>
    </xf>
    <xf numFmtId="3" fontId="94" fillId="0" borderId="11" xfId="0" applyNumberFormat="1" applyFont="1" applyBorder="1" applyAlignment="1">
      <alignment horizontal="left"/>
    </xf>
    <xf numFmtId="164" fontId="94" fillId="0" borderId="11" xfId="0" applyNumberFormat="1" applyFont="1" applyBorder="1" applyAlignment="1">
      <alignment horizontal="left"/>
    </xf>
    <xf numFmtId="0" fontId="94" fillId="0" borderId="11" xfId="0" applyFont="1" applyBorder="1" applyAlignment="1">
      <alignment horizontal="left"/>
    </xf>
    <xf numFmtId="3" fontId="103" fillId="0" borderId="11" xfId="0" applyNumberFormat="1" applyFont="1" applyBorder="1" applyAlignment="1">
      <alignment horizontal="left"/>
    </xf>
    <xf numFmtId="0" fontId="129" fillId="0" borderId="11" xfId="0" applyFont="1" applyBorder="1" applyAlignment="1">
      <alignment horizontal="left"/>
    </xf>
    <xf numFmtId="3" fontId="129" fillId="0" borderId="23" xfId="0" applyNumberFormat="1" applyFont="1" applyBorder="1" applyAlignment="1">
      <alignment horizontal="left"/>
    </xf>
    <xf numFmtId="1" fontId="91" fillId="0" borderId="54" xfId="0" applyNumberFormat="1" applyFont="1" applyBorder="1" applyAlignment="1">
      <alignment horizontal="left"/>
    </xf>
    <xf numFmtId="1" fontId="125" fillId="0" borderId="12" xfId="0" applyNumberFormat="1" applyFont="1" applyBorder="1" applyAlignment="1">
      <alignment horizontal="left"/>
    </xf>
    <xf numFmtId="0" fontId="119" fillId="0" borderId="73" xfId="0" applyFont="1" applyBorder="1" applyAlignment="1">
      <alignment horizontal="left"/>
    </xf>
    <xf numFmtId="0" fontId="102" fillId="0" borderId="47" xfId="0" applyFont="1" applyBorder="1" applyAlignment="1">
      <alignment horizontal="left"/>
    </xf>
    <xf numFmtId="0" fontId="102" fillId="0" borderId="49" xfId="0" applyFont="1" applyBorder="1" applyAlignment="1">
      <alignment horizontal="left"/>
    </xf>
    <xf numFmtId="0" fontId="101" fillId="0" borderId="11" xfId="0" applyFont="1" applyBorder="1" applyAlignment="1">
      <alignment horizontal="left"/>
    </xf>
    <xf numFmtId="0" fontId="119" fillId="0" borderId="11" xfId="0" applyFont="1" applyBorder="1" applyAlignment="1">
      <alignment horizontal="left"/>
    </xf>
    <xf numFmtId="0" fontId="102" fillId="0" borderId="23" xfId="0" applyFont="1" applyBorder="1" applyAlignment="1">
      <alignment horizontal="left"/>
    </xf>
    <xf numFmtId="0" fontId="119" fillId="0" borderId="60" xfId="0" applyFont="1" applyBorder="1" applyAlignment="1">
      <alignment horizontal="left"/>
    </xf>
    <xf numFmtId="0" fontId="102" fillId="0" borderId="63" xfId="0" applyFont="1" applyBorder="1" applyAlignment="1">
      <alignment horizontal="left"/>
    </xf>
    <xf numFmtId="0" fontId="101" fillId="0" borderId="24" xfId="0" applyFont="1" applyBorder="1" applyAlignment="1">
      <alignment horizontal="left"/>
    </xf>
    <xf numFmtId="0" fontId="119" fillId="0" borderId="24" xfId="0" applyFont="1" applyBorder="1" applyAlignment="1">
      <alignment horizontal="left"/>
    </xf>
    <xf numFmtId="0" fontId="102" fillId="0" borderId="66" xfId="0" applyFont="1" applyBorder="1" applyAlignment="1">
      <alignment horizontal="left"/>
    </xf>
    <xf numFmtId="0" fontId="102" fillId="0" borderId="64" xfId="0" applyFont="1" applyBorder="1" applyAlignment="1">
      <alignment horizontal="left"/>
    </xf>
    <xf numFmtId="0" fontId="101" fillId="0" borderId="13" xfId="0" applyFont="1" applyBorder="1" applyAlignment="1">
      <alignment horizontal="left"/>
    </xf>
    <xf numFmtId="0" fontId="119" fillId="0" borderId="13" xfId="0" applyFont="1" applyBorder="1" applyAlignment="1">
      <alignment horizontal="left"/>
    </xf>
    <xf numFmtId="0" fontId="102" fillId="0" borderId="20" xfId="0" applyFont="1" applyBorder="1" applyAlignment="1">
      <alignment horizontal="left"/>
    </xf>
    <xf numFmtId="3" fontId="102" fillId="0" borderId="47" xfId="0" applyNumberFormat="1" applyFont="1" applyBorder="1" applyAlignment="1">
      <alignment horizontal="left"/>
    </xf>
    <xf numFmtId="3" fontId="102" fillId="0" borderId="49" xfId="0" applyNumberFormat="1" applyFont="1" applyBorder="1" applyAlignment="1">
      <alignment horizontal="left"/>
    </xf>
    <xf numFmtId="3" fontId="102" fillId="0" borderId="22" xfId="0" applyNumberFormat="1" applyFont="1" applyBorder="1" applyAlignment="1">
      <alignment horizontal="left"/>
    </xf>
    <xf numFmtId="0" fontId="119" fillId="0" borderId="55" xfId="0" applyFont="1" applyBorder="1" applyAlignment="1">
      <alignment horizontal="left"/>
    </xf>
    <xf numFmtId="0" fontId="119" fillId="0" borderId="58" xfId="0" applyFont="1" applyBorder="1" applyAlignment="1">
      <alignment horizontal="left"/>
    </xf>
    <xf numFmtId="3" fontId="102" fillId="0" borderId="64" xfId="0" applyNumberFormat="1" applyFont="1" applyBorder="1" applyAlignment="1">
      <alignment horizontal="left"/>
    </xf>
    <xf numFmtId="3" fontId="102" fillId="0" borderId="13" xfId="0" applyNumberFormat="1" applyFont="1" applyBorder="1" applyAlignment="1">
      <alignment horizontal="left"/>
    </xf>
    <xf numFmtId="3" fontId="119" fillId="0" borderId="13" xfId="0" applyNumberFormat="1" applyFont="1" applyBorder="1" applyAlignment="1">
      <alignment horizontal="left"/>
    </xf>
    <xf numFmtId="3" fontId="102" fillId="0" borderId="20" xfId="0" applyNumberFormat="1" applyFont="1" applyBorder="1" applyAlignment="1">
      <alignment horizontal="left"/>
    </xf>
    <xf numFmtId="3" fontId="103" fillId="0" borderId="24" xfId="0" applyNumberFormat="1" applyFont="1" applyBorder="1" applyAlignment="1">
      <alignment horizontal="left"/>
    </xf>
    <xf numFmtId="3" fontId="119" fillId="0" borderId="24" xfId="0" applyNumberFormat="1" applyFont="1" applyBorder="1" applyAlignment="1">
      <alignment horizontal="left"/>
    </xf>
    <xf numFmtId="0" fontId="129" fillId="0" borderId="24" xfId="0" applyFont="1" applyBorder="1" applyAlignment="1">
      <alignment horizontal="left"/>
    </xf>
    <xf numFmtId="3" fontId="129" fillId="0" borderId="66" xfId="0" applyNumberFormat="1" applyFont="1" applyBorder="1" applyAlignment="1">
      <alignment horizontal="left"/>
    </xf>
    <xf numFmtId="0" fontId="128" fillId="0" borderId="24" xfId="0" applyFont="1" applyBorder="1" applyAlignment="1">
      <alignment horizontal="left"/>
    </xf>
    <xf numFmtId="0" fontId="102" fillId="0" borderId="16" xfId="0" applyFont="1" applyBorder="1" applyAlignment="1">
      <alignment horizontal="left"/>
    </xf>
    <xf numFmtId="1" fontId="101" fillId="0" borderId="72" xfId="0" applyNumberFormat="1" applyFont="1" applyBorder="1" applyAlignment="1">
      <alignment horizontal="left" vertical="center" wrapText="1"/>
    </xf>
    <xf numFmtId="0" fontId="102" fillId="0" borderId="76" xfId="0" applyFont="1" applyBorder="1" applyAlignment="1">
      <alignment horizontal="left"/>
    </xf>
    <xf numFmtId="0" fontId="102" fillId="0" borderId="28" xfId="0" applyFont="1" applyBorder="1" applyAlignment="1">
      <alignment horizontal="left"/>
    </xf>
    <xf numFmtId="0" fontId="102" fillId="0" borderId="35" xfId="0" applyFont="1" applyBorder="1" applyAlignment="1">
      <alignment horizontal="left"/>
    </xf>
    <xf numFmtId="0" fontId="101" fillId="0" borderId="60" xfId="0" applyFont="1" applyBorder="1" applyAlignment="1">
      <alignment horizontal="left" vertical="center" wrapText="1"/>
    </xf>
    <xf numFmtId="0" fontId="102" fillId="0" borderId="43" xfId="0" applyFont="1" applyBorder="1" applyAlignment="1">
      <alignment horizontal="left"/>
    </xf>
    <xf numFmtId="0" fontId="5" fillId="0" borderId="38" xfId="0" applyFont="1" applyBorder="1" applyAlignment="1">
      <alignment horizontal="center" vertical="justify" wrapText="1"/>
    </xf>
    <xf numFmtId="0" fontId="5" fillId="0" borderId="39" xfId="0" applyFont="1" applyBorder="1" applyAlignment="1">
      <alignment horizontal="center" vertical="justify" wrapText="1"/>
    </xf>
    <xf numFmtId="1" fontId="6" fillId="0" borderId="0" xfId="0" applyNumberFormat="1" applyFont="1" applyAlignment="1">
      <alignment horizontal="left"/>
    </xf>
    <xf numFmtId="1" fontId="91" fillId="0" borderId="47" xfId="0" applyNumberFormat="1" applyFont="1" applyBorder="1" applyAlignment="1">
      <alignment horizontal="left" vertical="center"/>
    </xf>
    <xf numFmtId="1" fontId="91" fillId="0" borderId="48" xfId="0" applyNumberFormat="1" applyFont="1" applyBorder="1" applyAlignment="1">
      <alignment horizontal="left" vertical="center"/>
    </xf>
    <xf numFmtId="1" fontId="91" fillId="0" borderId="0" xfId="0" applyNumberFormat="1" applyFont="1" applyFill="1" applyBorder="1" applyAlignment="1">
      <alignment horizontal="left"/>
    </xf>
    <xf numFmtId="0" fontId="91" fillId="0" borderId="48" xfId="0" applyFont="1" applyBorder="1" applyAlignment="1">
      <alignment horizontal="left" vertical="center"/>
    </xf>
    <xf numFmtId="0" fontId="91" fillId="0" borderId="49" xfId="0" applyFont="1" applyBorder="1" applyAlignment="1">
      <alignment horizontal="left" vertical="center"/>
    </xf>
    <xf numFmtId="2" fontId="98" fillId="0" borderId="27" xfId="42" applyNumberFormat="1" applyFont="1" applyBorder="1" applyAlignment="1">
      <alignment horizontal="right"/>
    </xf>
    <xf numFmtId="1" fontId="95" fillId="0" borderId="45" xfId="0" applyNumberFormat="1" applyFont="1" applyFill="1" applyBorder="1" applyAlignment="1">
      <alignment horizontal="left" vertical="center" wrapText="1"/>
    </xf>
    <xf numFmtId="1" fontId="95" fillId="0" borderId="45" xfId="0" applyNumberFormat="1" applyFont="1" applyFill="1" applyBorder="1" applyAlignment="1">
      <alignment horizontal="left" vertical="top" wrapText="1"/>
    </xf>
    <xf numFmtId="1" fontId="3" fillId="0" borderId="45" xfId="0" applyNumberFormat="1" applyFont="1" applyFill="1" applyBorder="1" applyAlignment="1">
      <alignment horizontal="left" vertical="top" wrapText="1"/>
    </xf>
    <xf numFmtId="1" fontId="6" fillId="0" borderId="45" xfId="0" applyNumberFormat="1" applyFont="1" applyFill="1" applyBorder="1" applyAlignment="1">
      <alignment horizontal="left" vertical="top" wrapText="1"/>
    </xf>
    <xf numFmtId="1" fontId="95" fillId="0" borderId="46" xfId="0" applyNumberFormat="1" applyFont="1" applyFill="1" applyBorder="1" applyAlignment="1">
      <alignment horizontal="left" vertical="top" wrapText="1"/>
    </xf>
    <xf numFmtId="0" fontId="116" fillId="0" borderId="87" xfId="0" applyFont="1" applyBorder="1" applyAlignment="1">
      <alignment horizontal="left"/>
    </xf>
    <xf numFmtId="0" fontId="116" fillId="0" borderId="72" xfId="0" applyFont="1" applyBorder="1" applyAlignment="1">
      <alignment horizontal="left"/>
    </xf>
    <xf numFmtId="0" fontId="116" fillId="0" borderId="73" xfId="0" applyFont="1" applyBorder="1" applyAlignment="1">
      <alignment horizontal="left"/>
    </xf>
    <xf numFmtId="2" fontId="92" fillId="0" borderId="15" xfId="0" applyNumberFormat="1" applyFont="1" applyBorder="1" applyAlignment="1">
      <alignment horizontal="left"/>
    </xf>
    <xf numFmtId="2" fontId="92" fillId="0" borderId="0" xfId="0" applyNumberFormat="1" applyFont="1" applyBorder="1" applyAlignment="1">
      <alignment horizontal="left"/>
    </xf>
    <xf numFmtId="1" fontId="91" fillId="0" borderId="86" xfId="0" applyNumberFormat="1" applyFont="1" applyBorder="1" applyAlignment="1">
      <alignment horizontal="justify" vertical="justify" wrapText="1"/>
    </xf>
    <xf numFmtId="1" fontId="92" fillId="0" borderId="0" xfId="0" applyNumberFormat="1" applyFont="1" applyAlignment="1">
      <alignment horizontal="justify" vertical="justify" wrapText="1"/>
    </xf>
    <xf numFmtId="1" fontId="102" fillId="0" borderId="0" xfId="0" applyNumberFormat="1" applyFont="1" applyFill="1" applyAlignment="1">
      <alignment horizontal="left"/>
    </xf>
    <xf numFmtId="1" fontId="91" fillId="0" borderId="27" xfId="0" applyNumberFormat="1" applyFont="1" applyBorder="1" applyAlignment="1">
      <alignment horizontal="left" vertical="center"/>
    </xf>
    <xf numFmtId="1" fontId="99" fillId="0" borderId="27" xfId="0" applyNumberFormat="1" applyFont="1" applyBorder="1" applyAlignment="1">
      <alignment horizontal="left" vertical="center"/>
    </xf>
    <xf numFmtId="2" fontId="116" fillId="0" borderId="22" xfId="0" applyNumberFormat="1" applyFont="1" applyFill="1" applyBorder="1" applyAlignment="1">
      <alignment horizontal="left"/>
    </xf>
    <xf numFmtId="0" fontId="9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0" fillId="0" borderId="0" xfId="0" applyFont="1" applyBorder="1" applyAlignment="1">
      <alignment horizontal="left"/>
    </xf>
    <xf numFmtId="0" fontId="112" fillId="0" borderId="0" xfId="0" applyFont="1" applyBorder="1" applyAlignment="1">
      <alignment horizontal="left"/>
    </xf>
    <xf numFmtId="2" fontId="91" fillId="0" borderId="13" xfId="0" applyNumberFormat="1" applyFont="1" applyFill="1" applyBorder="1" applyAlignment="1">
      <alignment horizontal="left"/>
    </xf>
    <xf numFmtId="164" fontId="100" fillId="0" borderId="12" xfId="0" applyNumberFormat="1" applyFont="1" applyBorder="1" applyAlignment="1">
      <alignment horizontal="left"/>
    </xf>
    <xf numFmtId="0" fontId="100" fillId="0" borderId="12" xfId="0" applyFont="1" applyBorder="1" applyAlignment="1">
      <alignment horizontal="left"/>
    </xf>
    <xf numFmtId="2" fontId="107" fillId="0" borderId="17" xfId="0" applyNumberFormat="1" applyFont="1" applyBorder="1" applyAlignment="1">
      <alignment horizontal="left" vertical="center"/>
    </xf>
    <xf numFmtId="2" fontId="107" fillId="0" borderId="19" xfId="0" applyNumberFormat="1" applyFont="1" applyBorder="1" applyAlignment="1">
      <alignment horizontal="left" vertical="center"/>
    </xf>
    <xf numFmtId="164" fontId="100" fillId="0" borderId="47" xfId="0" applyNumberFormat="1" applyFont="1" applyBorder="1" applyAlignment="1">
      <alignment horizontal="left"/>
    </xf>
    <xf numFmtId="164" fontId="100" fillId="0" borderId="48" xfId="0" applyNumberFormat="1" applyFont="1" applyBorder="1" applyAlignment="1">
      <alignment horizontal="left"/>
    </xf>
    <xf numFmtId="164" fontId="100" fillId="0" borderId="49" xfId="0" applyNumberFormat="1" applyFont="1" applyBorder="1" applyAlignment="1">
      <alignment horizontal="left"/>
    </xf>
    <xf numFmtId="164" fontId="100" fillId="0" borderId="11" xfId="0" applyNumberFormat="1" applyFont="1" applyBorder="1" applyAlignment="1">
      <alignment horizontal="left"/>
    </xf>
    <xf numFmtId="164" fontId="100" fillId="0" borderId="10" xfId="0" applyNumberFormat="1" applyFont="1" applyBorder="1" applyAlignment="1">
      <alignment horizontal="left"/>
    </xf>
    <xf numFmtId="0" fontId="100" fillId="0" borderId="11" xfId="0" applyFont="1" applyBorder="1" applyAlignment="1">
      <alignment horizontal="left"/>
    </xf>
    <xf numFmtId="164" fontId="100" fillId="0" borderId="23" xfId="0" applyNumberFormat="1" applyFont="1" applyBorder="1" applyAlignment="1">
      <alignment horizontal="left"/>
    </xf>
    <xf numFmtId="164" fontId="100" fillId="0" borderId="21" xfId="0" applyNumberFormat="1" applyFont="1" applyBorder="1" applyAlignment="1">
      <alignment horizontal="left"/>
    </xf>
    <xf numFmtId="164" fontId="100" fillId="0" borderId="22" xfId="0" applyNumberFormat="1" applyFont="1" applyBorder="1" applyAlignment="1">
      <alignment horizontal="left"/>
    </xf>
    <xf numFmtId="2" fontId="91" fillId="0" borderId="17" xfId="0" applyNumberFormat="1" applyFont="1" applyBorder="1" applyAlignment="1">
      <alignment horizontal="left" vertical="center"/>
    </xf>
    <xf numFmtId="0" fontId="91" fillId="0" borderId="12" xfId="0" applyFont="1" applyBorder="1" applyAlignment="1">
      <alignment horizontal="left" vertical="center"/>
    </xf>
    <xf numFmtId="1" fontId="91" fillId="0" borderId="24" xfId="0" applyNumberFormat="1" applyFont="1" applyBorder="1" applyAlignment="1">
      <alignment horizontal="left"/>
    </xf>
    <xf numFmtId="1" fontId="92" fillId="0" borderId="75" xfId="0" applyNumberFormat="1" applyFont="1" applyBorder="1" applyAlignment="1">
      <alignment horizontal="left"/>
    </xf>
    <xf numFmtId="1" fontId="91" fillId="0" borderId="34" xfId="0" applyNumberFormat="1" applyFont="1" applyBorder="1" applyAlignment="1">
      <alignment horizontal="left"/>
    </xf>
    <xf numFmtId="2" fontId="92" fillId="0" borderId="88" xfId="0" applyNumberFormat="1" applyFont="1" applyBorder="1" applyAlignment="1">
      <alignment horizontal="left"/>
    </xf>
    <xf numFmtId="2" fontId="92" fillId="0" borderId="75" xfId="0" applyNumberFormat="1" applyFont="1" applyBorder="1" applyAlignment="1">
      <alignment horizontal="left"/>
    </xf>
    <xf numFmtId="2" fontId="99" fillId="0" borderId="19" xfId="0" applyNumberFormat="1" applyFont="1" applyBorder="1" applyAlignment="1">
      <alignment horizontal="left"/>
    </xf>
    <xf numFmtId="2" fontId="111" fillId="0" borderId="73" xfId="0" applyNumberFormat="1" applyFont="1" applyBorder="1" applyAlignment="1">
      <alignment horizontal="left"/>
    </xf>
    <xf numFmtId="2" fontId="99" fillId="0" borderId="73" xfId="0" applyNumberFormat="1" applyFont="1" applyBorder="1" applyAlignment="1">
      <alignment horizontal="left"/>
    </xf>
    <xf numFmtId="2" fontId="111" fillId="0" borderId="81" xfId="0" applyNumberFormat="1" applyFont="1" applyBorder="1" applyAlignment="1">
      <alignment horizontal="left"/>
    </xf>
    <xf numFmtId="2" fontId="98" fillId="0" borderId="44" xfId="0" applyNumberFormat="1" applyFont="1" applyFill="1" applyBorder="1" applyAlignment="1">
      <alignment horizontal="left"/>
    </xf>
    <xf numFmtId="2" fontId="98" fillId="0" borderId="24" xfId="0" applyNumberFormat="1" applyFont="1" applyFill="1" applyBorder="1" applyAlignment="1">
      <alignment horizontal="left"/>
    </xf>
    <xf numFmtId="2" fontId="98" fillId="0" borderId="34" xfId="0" applyNumberFormat="1" applyFont="1" applyFill="1" applyBorder="1" applyAlignment="1">
      <alignment horizontal="left"/>
    </xf>
    <xf numFmtId="2" fontId="98" fillId="0" borderId="57" xfId="0" applyNumberFormat="1" applyFont="1" applyFill="1" applyBorder="1" applyAlignment="1">
      <alignment horizontal="left"/>
    </xf>
    <xf numFmtId="164" fontId="94" fillId="0" borderId="16" xfId="0" applyNumberFormat="1" applyFont="1" applyBorder="1" applyAlignment="1">
      <alignment horizontal="left"/>
    </xf>
    <xf numFmtId="164" fontId="94" fillId="0" borderId="30" xfId="0" applyNumberFormat="1" applyFont="1" applyBorder="1" applyAlignment="1">
      <alignment horizontal="left"/>
    </xf>
    <xf numFmtId="0" fontId="97" fillId="0" borderId="55" xfId="0" applyFont="1" applyBorder="1" applyAlignment="1">
      <alignment horizontal="left"/>
    </xf>
    <xf numFmtId="1" fontId="92" fillId="0" borderId="44" xfId="0" applyNumberFormat="1" applyFont="1" applyBorder="1" applyAlignment="1">
      <alignment horizontal="left" vertical="center"/>
    </xf>
    <xf numFmtId="1" fontId="92" fillId="0" borderId="34" xfId="0" applyNumberFormat="1" applyFont="1" applyBorder="1" applyAlignment="1">
      <alignment horizontal="left" vertical="center"/>
    </xf>
    <xf numFmtId="1" fontId="3" fillId="0" borderId="88" xfId="0" applyNumberFormat="1" applyFont="1" applyBorder="1" applyAlignment="1">
      <alignment horizontal="left" vertical="center"/>
    </xf>
    <xf numFmtId="1" fontId="116" fillId="0" borderId="80" xfId="0" applyNumberFormat="1" applyFont="1" applyBorder="1" applyAlignment="1">
      <alignment horizontal="left"/>
    </xf>
    <xf numFmtId="1" fontId="98" fillId="0" borderId="23" xfId="0" applyNumberFormat="1" applyFont="1" applyBorder="1" applyAlignment="1">
      <alignment horizontal="left" vertical="center"/>
    </xf>
    <xf numFmtId="0" fontId="100" fillId="0" borderId="70" xfId="0" applyFont="1" applyBorder="1" applyAlignment="1">
      <alignment horizontal="left"/>
    </xf>
    <xf numFmtId="0" fontId="119" fillId="0" borderId="80" xfId="0" applyFont="1" applyBorder="1" applyAlignment="1">
      <alignment horizontal="left"/>
    </xf>
    <xf numFmtId="0" fontId="119" fillId="0" borderId="83" xfId="0" applyFont="1" applyBorder="1" applyAlignment="1">
      <alignment horizontal="left"/>
    </xf>
    <xf numFmtId="0" fontId="119" fillId="0" borderId="84" xfId="0" applyFont="1" applyBorder="1" applyAlignment="1">
      <alignment horizontal="left"/>
    </xf>
    <xf numFmtId="2" fontId="98" fillId="0" borderId="47" xfId="0" applyNumberFormat="1" applyFont="1" applyBorder="1" applyAlignment="1">
      <alignment horizontal="left" vertical="center"/>
    </xf>
    <xf numFmtId="2" fontId="98" fillId="0" borderId="48" xfId="0" applyNumberFormat="1" applyFont="1" applyBorder="1" applyAlignment="1">
      <alignment horizontal="left" vertical="center"/>
    </xf>
    <xf numFmtId="2" fontId="98" fillId="0" borderId="49" xfId="0" applyNumberFormat="1" applyFont="1" applyBorder="1" applyAlignment="1">
      <alignment horizontal="left" vertical="center"/>
    </xf>
    <xf numFmtId="0" fontId="98" fillId="0" borderId="17" xfId="0" applyFont="1" applyBorder="1" applyAlignment="1">
      <alignment horizontal="left" vertical="center"/>
    </xf>
    <xf numFmtId="0" fontId="98" fillId="0" borderId="14" xfId="0" applyFont="1" applyBorder="1" applyAlignment="1">
      <alignment horizontal="left" vertical="center"/>
    </xf>
    <xf numFmtId="0" fontId="98" fillId="0" borderId="18" xfId="0" applyFont="1" applyBorder="1" applyAlignment="1">
      <alignment horizontal="left" vertical="center"/>
    </xf>
    <xf numFmtId="0" fontId="98" fillId="0" borderId="16" xfId="0" applyFont="1" applyBorder="1" applyAlignment="1">
      <alignment horizontal="left" vertical="center"/>
    </xf>
    <xf numFmtId="2" fontId="98" fillId="0" borderId="75" xfId="0" applyNumberFormat="1" applyFont="1" applyBorder="1" applyAlignment="1">
      <alignment horizontal="left" vertical="center"/>
    </xf>
    <xf numFmtId="2" fontId="98" fillId="0" borderId="51" xfId="0" applyNumberFormat="1" applyFont="1" applyBorder="1" applyAlignment="1">
      <alignment horizontal="left" vertical="center"/>
    </xf>
    <xf numFmtId="2" fontId="98" fillId="0" borderId="74" xfId="0" applyNumberFormat="1" applyFont="1" applyBorder="1" applyAlignment="1">
      <alignment horizontal="left" vertical="center"/>
    </xf>
    <xf numFmtId="0" fontId="98" fillId="0" borderId="44" xfId="0" applyFont="1" applyBorder="1" applyAlignment="1">
      <alignment horizontal="left" vertical="center"/>
    </xf>
    <xf numFmtId="2" fontId="98" fillId="0" borderId="16" xfId="0" applyNumberFormat="1" applyFont="1" applyBorder="1" applyAlignment="1">
      <alignment horizontal="left" vertical="center"/>
    </xf>
    <xf numFmtId="2" fontId="98" fillId="0" borderId="14" xfId="0" applyNumberFormat="1" applyFont="1" applyBorder="1" applyAlignment="1">
      <alignment horizontal="left" vertical="center"/>
    </xf>
    <xf numFmtId="2" fontId="98" fillId="0" borderId="18" xfId="0" applyNumberFormat="1" applyFont="1" applyBorder="1" applyAlignment="1">
      <alignment horizontal="left" vertical="center"/>
    </xf>
    <xf numFmtId="2" fontId="124" fillId="0" borderId="17" xfId="0" applyNumberFormat="1" applyFont="1" applyBorder="1" applyAlignment="1">
      <alignment horizontal="left"/>
    </xf>
    <xf numFmtId="2" fontId="124" fillId="0" borderId="14" xfId="0" applyNumberFormat="1" applyFont="1" applyBorder="1" applyAlignment="1">
      <alignment horizontal="left"/>
    </xf>
    <xf numFmtId="2" fontId="124" fillId="0" borderId="18" xfId="0" applyNumberFormat="1" applyFont="1" applyBorder="1" applyAlignment="1">
      <alignment horizontal="left"/>
    </xf>
    <xf numFmtId="0" fontId="98" fillId="0" borderId="0" xfId="0" applyFont="1" applyAlignment="1">
      <alignment horizontal="left"/>
    </xf>
    <xf numFmtId="2" fontId="98" fillId="0" borderId="11" xfId="0" applyNumberFormat="1" applyFont="1" applyBorder="1" applyAlignment="1">
      <alignment horizontal="left" vertical="center"/>
    </xf>
    <xf numFmtId="2" fontId="98" fillId="0" borderId="12" xfId="0" applyNumberFormat="1" applyFont="1" applyBorder="1" applyAlignment="1">
      <alignment horizontal="left" vertical="center"/>
    </xf>
    <xf numFmtId="2" fontId="98" fillId="0" borderId="10" xfId="0" applyNumberFormat="1" applyFont="1" applyBorder="1" applyAlignment="1">
      <alignment horizontal="left" vertical="center"/>
    </xf>
    <xf numFmtId="0" fontId="98" fillId="0" borderId="10" xfId="0" applyFont="1" applyBorder="1" applyAlignment="1">
      <alignment horizontal="left" vertical="center"/>
    </xf>
    <xf numFmtId="2" fontId="98" fillId="0" borderId="47" xfId="0" applyNumberFormat="1" applyFont="1" applyBorder="1" applyAlignment="1">
      <alignment horizontal="left"/>
    </xf>
    <xf numFmtId="2" fontId="98" fillId="0" borderId="48" xfId="0" applyNumberFormat="1" applyFont="1" applyBorder="1" applyAlignment="1">
      <alignment horizontal="left"/>
    </xf>
    <xf numFmtId="2" fontId="98" fillId="0" borderId="11" xfId="44" applyNumberFormat="1" applyFont="1" applyBorder="1" applyAlignment="1">
      <alignment horizontal="left"/>
    </xf>
    <xf numFmtId="2" fontId="98" fillId="0" borderId="12" xfId="44" applyNumberFormat="1" applyFont="1" applyBorder="1" applyAlignment="1">
      <alignment horizontal="left"/>
    </xf>
    <xf numFmtId="2" fontId="98" fillId="0" borderId="13" xfId="0" applyNumberFormat="1" applyFont="1" applyBorder="1" applyAlignment="1">
      <alignment horizontal="left" wrapText="1"/>
    </xf>
    <xf numFmtId="2" fontId="124" fillId="0" borderId="12" xfId="0" applyNumberFormat="1" applyFont="1" applyBorder="1" applyAlignment="1">
      <alignment horizontal="left"/>
    </xf>
    <xf numFmtId="2" fontId="124" fillId="0" borderId="10" xfId="0" applyNumberFormat="1" applyFont="1" applyBorder="1" applyAlignment="1">
      <alignment horizontal="left"/>
    </xf>
    <xf numFmtId="10" fontId="98" fillId="0" borderId="11" xfId="0" applyNumberFormat="1" applyFont="1" applyBorder="1" applyAlignment="1">
      <alignment horizontal="left"/>
    </xf>
    <xf numFmtId="10" fontId="98" fillId="0" borderId="12" xfId="0" applyNumberFormat="1" applyFont="1" applyBorder="1" applyAlignment="1">
      <alignment horizontal="left"/>
    </xf>
    <xf numFmtId="10" fontId="98" fillId="0" borderId="18" xfId="0" applyNumberFormat="1" applyFont="1" applyBorder="1" applyAlignment="1">
      <alignment horizontal="left" vertical="center"/>
    </xf>
    <xf numFmtId="10" fontId="98" fillId="0" borderId="10" xfId="0" applyNumberFormat="1" applyFont="1" applyBorder="1" applyAlignment="1">
      <alignment horizontal="left" vertical="center"/>
    </xf>
    <xf numFmtId="10" fontId="98" fillId="0" borderId="24" xfId="0" applyNumberFormat="1" applyFont="1" applyBorder="1" applyAlignment="1">
      <alignment horizontal="left"/>
    </xf>
    <xf numFmtId="10" fontId="98" fillId="0" borderId="11" xfId="44" applyNumberFormat="1" applyFont="1" applyBorder="1" applyAlignment="1">
      <alignment horizontal="left"/>
    </xf>
    <xf numFmtId="10" fontId="98" fillId="0" borderId="12" xfId="44" applyNumberFormat="1" applyFont="1" applyBorder="1" applyAlignment="1">
      <alignment horizontal="left"/>
    </xf>
    <xf numFmtId="10" fontId="98" fillId="0" borderId="10" xfId="44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2" fontId="124" fillId="0" borderId="13" xfId="0" applyNumberFormat="1" applyFont="1" applyBorder="1" applyAlignment="1">
      <alignment horizontal="left"/>
    </xf>
    <xf numFmtId="2" fontId="98" fillId="0" borderId="28" xfId="42" applyNumberFormat="1" applyFont="1" applyBorder="1" applyAlignment="1">
      <alignment horizontal="left"/>
    </xf>
    <xf numFmtId="3" fontId="124" fillId="0" borderId="13" xfId="0" applyNumberFormat="1" applyFont="1" applyBorder="1" applyAlignment="1">
      <alignment horizontal="left"/>
    </xf>
    <xf numFmtId="3" fontId="124" fillId="0" borderId="12" xfId="0" applyNumberFormat="1" applyFont="1" applyBorder="1" applyAlignment="1">
      <alignment horizontal="left"/>
    </xf>
    <xf numFmtId="3" fontId="124" fillId="0" borderId="10" xfId="0" applyNumberFormat="1" applyFont="1" applyBorder="1" applyAlignment="1">
      <alignment horizontal="left"/>
    </xf>
    <xf numFmtId="10" fontId="98" fillId="0" borderId="10" xfId="0" applyNumberFormat="1" applyFont="1" applyBorder="1" applyAlignment="1">
      <alignment horizontal="left"/>
    </xf>
    <xf numFmtId="2" fontId="98" fillId="0" borderId="23" xfId="0" applyNumberFormat="1" applyFont="1" applyBorder="1" applyAlignment="1">
      <alignment horizontal="left" vertical="center"/>
    </xf>
    <xf numFmtId="2" fontId="98" fillId="0" borderId="21" xfId="0" applyNumberFormat="1" applyFont="1" applyBorder="1" applyAlignment="1">
      <alignment horizontal="left" vertical="center"/>
    </xf>
    <xf numFmtId="2" fontId="98" fillId="0" borderId="22" xfId="0" applyNumberFormat="1" applyFont="1" applyBorder="1" applyAlignment="1">
      <alignment horizontal="left" vertical="center"/>
    </xf>
    <xf numFmtId="2" fontId="98" fillId="0" borderId="20" xfId="0" applyNumberFormat="1" applyFont="1" applyBorder="1" applyAlignment="1">
      <alignment horizontal="left"/>
    </xf>
    <xf numFmtId="2" fontId="98" fillId="0" borderId="21" xfId="0" applyNumberFormat="1" applyFont="1" applyBorder="1" applyAlignment="1">
      <alignment horizontal="left"/>
    </xf>
    <xf numFmtId="0" fontId="98" fillId="0" borderId="22" xfId="0" applyFont="1" applyBorder="1" applyAlignment="1">
      <alignment horizontal="left" vertical="center"/>
    </xf>
    <xf numFmtId="2" fontId="98" fillId="0" borderId="22" xfId="0" applyNumberFormat="1" applyFont="1" applyBorder="1" applyAlignment="1">
      <alignment horizontal="left"/>
    </xf>
    <xf numFmtId="2" fontId="98" fillId="0" borderId="23" xfId="0" applyNumberFormat="1" applyFont="1" applyBorder="1" applyAlignment="1">
      <alignment horizontal="left"/>
    </xf>
    <xf numFmtId="0" fontId="98" fillId="0" borderId="52" xfId="0" applyFont="1" applyBorder="1" applyAlignment="1">
      <alignment horizontal="left" vertical="center"/>
    </xf>
    <xf numFmtId="2" fontId="98" fillId="0" borderId="66" xfId="0" applyNumberFormat="1" applyFont="1" applyBorder="1" applyAlignment="1">
      <alignment horizontal="left"/>
    </xf>
    <xf numFmtId="2" fontId="98" fillId="0" borderId="20" xfId="0" applyNumberFormat="1" applyFont="1" applyBorder="1" applyAlignment="1">
      <alignment horizontal="left" wrapText="1"/>
    </xf>
    <xf numFmtId="3" fontId="124" fillId="0" borderId="20" xfId="0" applyNumberFormat="1" applyFont="1" applyBorder="1" applyAlignment="1">
      <alignment horizontal="left"/>
    </xf>
    <xf numFmtId="3" fontId="124" fillId="0" borderId="21" xfId="0" applyNumberFormat="1" applyFont="1" applyBorder="1" applyAlignment="1">
      <alignment horizontal="left"/>
    </xf>
    <xf numFmtId="3" fontId="124" fillId="0" borderId="22" xfId="0" applyNumberFormat="1" applyFont="1" applyBorder="1" applyAlignment="1">
      <alignment horizontal="left"/>
    </xf>
    <xf numFmtId="2" fontId="98" fillId="0" borderId="23" xfId="0" applyNumberFormat="1" applyFont="1" applyFill="1" applyBorder="1" applyAlignment="1">
      <alignment horizontal="left"/>
    </xf>
    <xf numFmtId="2" fontId="98" fillId="0" borderId="21" xfId="0" applyNumberFormat="1" applyFont="1" applyFill="1" applyBorder="1" applyAlignment="1">
      <alignment horizontal="left"/>
    </xf>
    <xf numFmtId="2" fontId="98" fillId="0" borderId="22" xfId="0" applyNumberFormat="1" applyFont="1" applyFill="1" applyBorder="1" applyAlignment="1">
      <alignment horizontal="left"/>
    </xf>
    <xf numFmtId="2" fontId="98" fillId="0" borderId="23" xfId="42" applyNumberFormat="1" applyFont="1" applyBorder="1" applyAlignment="1">
      <alignment horizontal="left"/>
    </xf>
    <xf numFmtId="2" fontId="98" fillId="0" borderId="21" xfId="42" applyNumberFormat="1" applyFont="1" applyBorder="1" applyAlignment="1">
      <alignment horizontal="left"/>
    </xf>
    <xf numFmtId="2" fontId="98" fillId="0" borderId="66" xfId="42" applyNumberFormat="1" applyFont="1" applyBorder="1" applyAlignment="1">
      <alignment horizontal="left"/>
    </xf>
    <xf numFmtId="2" fontId="98" fillId="0" borderId="22" xfId="42" applyNumberFormat="1" applyFont="1" applyBorder="1" applyAlignment="1">
      <alignment horizontal="left"/>
    </xf>
    <xf numFmtId="0" fontId="5" fillId="0" borderId="25" xfId="0" applyFont="1" applyBorder="1" applyAlignment="1">
      <alignment horizontal="center" vertical="justify" wrapText="1"/>
    </xf>
    <xf numFmtId="0" fontId="11" fillId="0" borderId="25" xfId="0" applyFont="1" applyBorder="1" applyAlignment="1">
      <alignment horizontal="left"/>
    </xf>
    <xf numFmtId="0" fontId="97" fillId="0" borderId="23" xfId="0" applyFont="1" applyBorder="1" applyAlignment="1">
      <alignment horizontal="left"/>
    </xf>
    <xf numFmtId="0" fontId="97" fillId="0" borderId="22" xfId="0" applyFont="1" applyBorder="1" applyAlignment="1">
      <alignment horizontal="left"/>
    </xf>
    <xf numFmtId="1" fontId="102" fillId="0" borderId="29" xfId="0" applyNumberFormat="1" applyFont="1" applyBorder="1" applyAlignment="1">
      <alignment horizontal="left"/>
    </xf>
    <xf numFmtId="1" fontId="119" fillId="0" borderId="79" xfId="0" applyNumberFormat="1" applyFont="1" applyBorder="1" applyAlignment="1">
      <alignment horizontal="left" vertical="center"/>
    </xf>
    <xf numFmtId="0" fontId="101" fillId="0" borderId="74" xfId="0" applyFont="1" applyBorder="1" applyAlignment="1">
      <alignment horizontal="left" vertical="center"/>
    </xf>
    <xf numFmtId="1" fontId="102" fillId="0" borderId="10" xfId="0" applyNumberFormat="1" applyFont="1" applyFill="1" applyBorder="1" applyAlignment="1">
      <alignment horizontal="left"/>
    </xf>
    <xf numFmtId="1" fontId="102" fillId="0" borderId="33" xfId="0" applyNumberFormat="1" applyFont="1" applyFill="1" applyBorder="1" applyAlignment="1">
      <alignment horizontal="left"/>
    </xf>
    <xf numFmtId="1" fontId="122" fillId="0" borderId="87" xfId="0" applyNumberFormat="1" applyFont="1" applyFill="1" applyBorder="1" applyAlignment="1">
      <alignment horizontal="left"/>
    </xf>
    <xf numFmtId="1" fontId="121" fillId="0" borderId="56" xfId="0" applyNumberFormat="1" applyFont="1" applyBorder="1" applyAlignment="1">
      <alignment horizontal="left"/>
    </xf>
    <xf numFmtId="1" fontId="121" fillId="0" borderId="87" xfId="0" applyNumberFormat="1" applyFont="1" applyBorder="1" applyAlignment="1">
      <alignment horizontal="left"/>
    </xf>
    <xf numFmtId="1" fontId="98" fillId="0" borderId="42" xfId="0" applyNumberFormat="1" applyFont="1" applyBorder="1" applyAlignment="1">
      <alignment horizontal="left" vertical="center"/>
    </xf>
    <xf numFmtId="1" fontId="98" fillId="0" borderId="48" xfId="0" applyNumberFormat="1" applyFont="1" applyBorder="1" applyAlignment="1">
      <alignment horizontal="left" vertical="center"/>
    </xf>
    <xf numFmtId="1" fontId="98" fillId="0" borderId="48" xfId="0" applyNumberFormat="1" applyFont="1" applyBorder="1" applyAlignment="1">
      <alignment horizontal="left"/>
    </xf>
    <xf numFmtId="1" fontId="98" fillId="0" borderId="48" xfId="42" applyNumberFormat="1" applyFont="1" applyBorder="1" applyAlignment="1">
      <alignment horizontal="left"/>
    </xf>
    <xf numFmtId="1" fontId="98" fillId="0" borderId="48" xfId="0" applyNumberFormat="1" applyFont="1" applyFill="1" applyBorder="1" applyAlignment="1">
      <alignment horizontal="left"/>
    </xf>
    <xf numFmtId="1" fontId="99" fillId="0" borderId="48" xfId="0" applyNumberFormat="1" applyFont="1" applyBorder="1" applyAlignment="1">
      <alignment horizontal="left" vertical="center"/>
    </xf>
    <xf numFmtId="1" fontId="99" fillId="0" borderId="49" xfId="0" applyNumberFormat="1" applyFont="1" applyBorder="1" applyAlignment="1">
      <alignment horizontal="left" vertical="center"/>
    </xf>
    <xf numFmtId="1" fontId="101" fillId="0" borderId="86" xfId="0" applyNumberFormat="1" applyFont="1" applyBorder="1" applyAlignment="1">
      <alignment horizontal="left"/>
    </xf>
    <xf numFmtId="1" fontId="97" fillId="0" borderId="70" xfId="0" applyNumberFormat="1" applyFont="1" applyBorder="1" applyAlignment="1">
      <alignment horizontal="left"/>
    </xf>
    <xf numFmtId="1" fontId="121" fillId="0" borderId="59" xfId="0" applyNumberFormat="1" applyFont="1" applyBorder="1" applyAlignment="1">
      <alignment horizontal="left"/>
    </xf>
    <xf numFmtId="1" fontId="98" fillId="0" borderId="64" xfId="0" applyNumberFormat="1" applyFont="1" applyBorder="1" applyAlignment="1">
      <alignment horizontal="left"/>
    </xf>
    <xf numFmtId="1" fontId="121" fillId="0" borderId="55" xfId="0" applyNumberFormat="1" applyFont="1" applyBorder="1" applyAlignment="1">
      <alignment horizontal="left"/>
    </xf>
    <xf numFmtId="1" fontId="121" fillId="0" borderId="58" xfId="0" applyNumberFormat="1" applyFont="1" applyBorder="1" applyAlignment="1">
      <alignment horizontal="left"/>
    </xf>
    <xf numFmtId="1" fontId="98" fillId="0" borderId="47" xfId="0" applyNumberFormat="1" applyFont="1" applyBorder="1" applyAlignment="1">
      <alignment horizontal="left" vertical="center"/>
    </xf>
    <xf numFmtId="1" fontId="98" fillId="0" borderId="49" xfId="0" applyNumberFormat="1" applyFont="1" applyBorder="1" applyAlignment="1">
      <alignment horizontal="left" vertical="center"/>
    </xf>
    <xf numFmtId="1" fontId="98" fillId="0" borderId="49" xfId="0" applyNumberFormat="1" applyFont="1" applyBorder="1" applyAlignment="1">
      <alignment horizontal="left"/>
    </xf>
    <xf numFmtId="1" fontId="98" fillId="0" borderId="32" xfId="44" applyNumberFormat="1" applyFont="1" applyBorder="1" applyAlignment="1">
      <alignment horizontal="left"/>
    </xf>
    <xf numFmtId="1" fontId="98" fillId="0" borderId="64" xfId="42" applyNumberFormat="1" applyFont="1" applyBorder="1" applyAlignment="1">
      <alignment horizontal="left"/>
    </xf>
    <xf numFmtId="1" fontId="98" fillId="0" borderId="49" xfId="42" applyNumberFormat="1" applyFont="1" applyBorder="1" applyAlignment="1">
      <alignment horizontal="left"/>
    </xf>
    <xf numFmtId="1" fontId="98" fillId="0" borderId="64" xfId="0" applyNumberFormat="1" applyFont="1" applyFill="1" applyBorder="1" applyAlignment="1">
      <alignment horizontal="left"/>
    </xf>
    <xf numFmtId="1" fontId="98" fillId="0" borderId="64" xfId="0" applyNumberFormat="1" applyFont="1" applyBorder="1" applyAlignment="1">
      <alignment horizontal="left" wrapText="1"/>
    </xf>
    <xf numFmtId="1" fontId="98" fillId="0" borderId="49" xfId="0" applyNumberFormat="1" applyFont="1" applyFill="1" applyBorder="1" applyAlignment="1">
      <alignment horizontal="left"/>
    </xf>
    <xf numFmtId="1" fontId="99" fillId="0" borderId="13" xfId="0" applyNumberFormat="1" applyFont="1" applyBorder="1" applyAlignment="1">
      <alignment horizontal="left" vertical="center"/>
    </xf>
    <xf numFmtId="1" fontId="98" fillId="0" borderId="13" xfId="0" applyNumberFormat="1" applyFont="1" applyBorder="1" applyAlignment="1">
      <alignment horizontal="left" vertical="center"/>
    </xf>
    <xf numFmtId="1" fontId="98" fillId="0" borderId="32" xfId="0" applyNumberFormat="1" applyFont="1" applyBorder="1" applyAlignment="1">
      <alignment horizontal="left" vertical="center"/>
    </xf>
    <xf numFmtId="1" fontId="99" fillId="0" borderId="64" xfId="0" applyNumberFormat="1" applyFont="1" applyBorder="1" applyAlignment="1">
      <alignment horizontal="left" vertical="center"/>
    </xf>
    <xf numFmtId="1" fontId="121" fillId="0" borderId="72" xfId="0" applyNumberFormat="1" applyFont="1" applyBorder="1" applyAlignment="1">
      <alignment horizontal="left"/>
    </xf>
    <xf numFmtId="1" fontId="121" fillId="0" borderId="60" xfId="0" applyNumberFormat="1" applyFont="1" applyBorder="1" applyAlignment="1">
      <alignment horizontal="left"/>
    </xf>
    <xf numFmtId="1" fontId="102" fillId="0" borderId="27" xfId="42" applyNumberFormat="1" applyFont="1" applyBorder="1" applyAlignment="1">
      <alignment horizontal="left"/>
    </xf>
    <xf numFmtId="0" fontId="101" fillId="0" borderId="64" xfId="0" applyFont="1" applyBorder="1" applyAlignment="1">
      <alignment horizontal="left" vertical="center"/>
    </xf>
    <xf numFmtId="1" fontId="102" fillId="0" borderId="27" xfId="0" applyNumberFormat="1" applyFont="1" applyBorder="1" applyAlignment="1">
      <alignment horizontal="left"/>
    </xf>
    <xf numFmtId="2" fontId="102" fillId="0" borderId="13" xfId="0" applyNumberFormat="1" applyFont="1" applyBorder="1" applyAlignment="1">
      <alignment horizontal="left" wrapText="1"/>
    </xf>
    <xf numFmtId="0" fontId="128" fillId="0" borderId="13" xfId="0" applyFont="1" applyBorder="1" applyAlignment="1">
      <alignment horizontal="left"/>
    </xf>
    <xf numFmtId="3" fontId="119" fillId="0" borderId="20" xfId="0" applyNumberFormat="1" applyFont="1" applyBorder="1" applyAlignment="1">
      <alignment horizontal="left"/>
    </xf>
    <xf numFmtId="2" fontId="102" fillId="0" borderId="10" xfId="0" applyNumberFormat="1" applyFont="1" applyFill="1" applyBorder="1" applyAlignment="1">
      <alignment horizontal="left"/>
    </xf>
    <xf numFmtId="1" fontId="119" fillId="0" borderId="22" xfId="0" applyNumberFormat="1" applyFont="1" applyFill="1" applyBorder="1" applyAlignment="1">
      <alignment horizontal="left"/>
    </xf>
    <xf numFmtId="2" fontId="102" fillId="0" borderId="10" xfId="42" applyNumberFormat="1" applyFont="1" applyBorder="1" applyAlignment="1">
      <alignment horizontal="left"/>
    </xf>
    <xf numFmtId="1" fontId="102" fillId="0" borderId="29" xfId="42" applyNumberFormat="1" applyFont="1" applyBorder="1" applyAlignment="1">
      <alignment horizontal="left"/>
    </xf>
    <xf numFmtId="1" fontId="119" fillId="0" borderId="65" xfId="42" applyNumberFormat="1" applyFont="1" applyBorder="1" applyAlignment="1">
      <alignment horizontal="left"/>
    </xf>
    <xf numFmtId="1" fontId="130" fillId="0" borderId="46" xfId="0" applyNumberFormat="1" applyFont="1" applyFill="1" applyBorder="1" applyAlignment="1">
      <alignment horizontal="left" vertical="top" wrapText="1"/>
    </xf>
    <xf numFmtId="1" fontId="130" fillId="0" borderId="23" xfId="0" applyNumberFormat="1" applyFont="1" applyFill="1" applyBorder="1" applyAlignment="1">
      <alignment horizontal="left" vertical="center"/>
    </xf>
    <xf numFmtId="1" fontId="130" fillId="0" borderId="21" xfId="0" applyNumberFormat="1" applyFont="1" applyFill="1" applyBorder="1" applyAlignment="1">
      <alignment horizontal="left" vertical="center"/>
    </xf>
    <xf numFmtId="1" fontId="130" fillId="0" borderId="22" xfId="0" applyNumberFormat="1" applyFont="1" applyFill="1" applyBorder="1" applyAlignment="1">
      <alignment horizontal="left" vertical="center"/>
    </xf>
    <xf numFmtId="1" fontId="130" fillId="0" borderId="32" xfId="0" applyNumberFormat="1" applyFont="1" applyFill="1" applyBorder="1" applyAlignment="1">
      <alignment horizontal="left" vertical="center"/>
    </xf>
    <xf numFmtId="1" fontId="130" fillId="0" borderId="31" xfId="0" applyNumberFormat="1" applyFont="1" applyFill="1" applyBorder="1" applyAlignment="1">
      <alignment horizontal="left" vertical="center"/>
    </xf>
    <xf numFmtId="1" fontId="131" fillId="0" borderId="12" xfId="0" applyNumberFormat="1" applyFont="1" applyBorder="1" applyAlignment="1">
      <alignment horizontal="left"/>
    </xf>
    <xf numFmtId="1" fontId="131" fillId="0" borderId="10" xfId="0" applyNumberFormat="1" applyFont="1" applyBorder="1" applyAlignment="1">
      <alignment horizontal="left"/>
    </xf>
    <xf numFmtId="1" fontId="130" fillId="0" borderId="36" xfId="0" applyNumberFormat="1" applyFont="1" applyFill="1" applyBorder="1" applyAlignment="1">
      <alignment horizontal="left" vertical="center"/>
    </xf>
    <xf numFmtId="1" fontId="130" fillId="0" borderId="33" xfId="0" applyNumberFormat="1" applyFont="1" applyFill="1" applyBorder="1" applyAlignment="1">
      <alignment horizontal="left" vertical="center"/>
    </xf>
    <xf numFmtId="1" fontId="130" fillId="0" borderId="14" xfId="0" applyNumberFormat="1" applyFont="1" applyBorder="1" applyAlignment="1">
      <alignment horizontal="left" vertical="center"/>
    </xf>
    <xf numFmtId="1" fontId="130" fillId="0" borderId="18" xfId="0" applyNumberFormat="1" applyFont="1" applyBorder="1" applyAlignment="1">
      <alignment horizontal="left" vertical="center"/>
    </xf>
    <xf numFmtId="1" fontId="130" fillId="0" borderId="17" xfId="0" applyNumberFormat="1" applyFont="1" applyBorder="1" applyAlignment="1">
      <alignment horizontal="left" vertical="center"/>
    </xf>
    <xf numFmtId="1" fontId="130" fillId="0" borderId="19" xfId="0" applyNumberFormat="1" applyFont="1" applyBorder="1" applyAlignment="1">
      <alignment horizontal="left" vertical="center"/>
    </xf>
    <xf numFmtId="1" fontId="131" fillId="0" borderId="12" xfId="44" applyNumberFormat="1" applyFont="1" applyBorder="1" applyAlignment="1">
      <alignment horizontal="left"/>
    </xf>
    <xf numFmtId="1" fontId="131" fillId="0" borderId="10" xfId="44" applyNumberFormat="1" applyFont="1" applyBorder="1" applyAlignment="1">
      <alignment horizontal="left"/>
    </xf>
    <xf numFmtId="1" fontId="131" fillId="0" borderId="14" xfId="0" applyNumberFormat="1" applyFont="1" applyFill="1" applyBorder="1" applyAlignment="1">
      <alignment horizontal="left" vertical="center" shrinkToFit="1"/>
    </xf>
    <xf numFmtId="1" fontId="131" fillId="0" borderId="18" xfId="0" applyNumberFormat="1" applyFont="1" applyFill="1" applyBorder="1" applyAlignment="1">
      <alignment horizontal="left" vertical="center" shrinkToFit="1"/>
    </xf>
    <xf numFmtId="1" fontId="131" fillId="0" borderId="12" xfId="0" applyNumberFormat="1" applyFont="1" applyFill="1" applyBorder="1" applyAlignment="1">
      <alignment horizontal="left"/>
    </xf>
    <xf numFmtId="1" fontId="131" fillId="0" borderId="10" xfId="0" applyNumberFormat="1" applyFont="1" applyFill="1" applyBorder="1" applyAlignment="1">
      <alignment horizontal="left"/>
    </xf>
    <xf numFmtId="1" fontId="130" fillId="0" borderId="32" xfId="0" applyNumberFormat="1" applyFont="1" applyBorder="1" applyAlignment="1">
      <alignment horizontal="left" vertical="center"/>
    </xf>
    <xf numFmtId="1" fontId="130" fillId="0" borderId="30" xfId="0" applyNumberFormat="1" applyFont="1" applyBorder="1" applyAlignment="1">
      <alignment horizontal="left" vertical="center"/>
    </xf>
    <xf numFmtId="1" fontId="130" fillId="0" borderId="42" xfId="0" applyNumberFormat="1" applyFont="1" applyBorder="1" applyAlignment="1">
      <alignment horizontal="left" vertical="center"/>
    </xf>
    <xf numFmtId="1" fontId="130" fillId="0" borderId="30" xfId="0" applyNumberFormat="1" applyFont="1" applyFill="1" applyBorder="1" applyAlignment="1">
      <alignment horizontal="left" vertical="center"/>
    </xf>
    <xf numFmtId="1" fontId="131" fillId="0" borderId="12" xfId="42" applyNumberFormat="1" applyFont="1" applyBorder="1" applyAlignment="1">
      <alignment horizontal="left"/>
    </xf>
    <xf numFmtId="1" fontId="131" fillId="0" borderId="10" xfId="42" applyNumberFormat="1" applyFont="1" applyBorder="1" applyAlignment="1">
      <alignment horizontal="left"/>
    </xf>
    <xf numFmtId="1" fontId="130" fillId="0" borderId="0" xfId="0" applyNumberFormat="1" applyFont="1" applyFill="1" applyAlignment="1">
      <alignment horizontal="left"/>
    </xf>
    <xf numFmtId="1" fontId="131" fillId="0" borderId="45" xfId="0" applyNumberFormat="1" applyFont="1" applyFill="1" applyBorder="1" applyAlignment="1">
      <alignment horizontal="left" vertical="top" wrapText="1"/>
    </xf>
    <xf numFmtId="1" fontId="130" fillId="0" borderId="11" xfId="0" applyNumberFormat="1" applyFont="1" applyBorder="1" applyAlignment="1">
      <alignment horizontal="left" vertical="center"/>
    </xf>
    <xf numFmtId="1" fontId="130" fillId="0" borderId="12" xfId="0" applyNumberFormat="1" applyFont="1" applyBorder="1" applyAlignment="1">
      <alignment horizontal="left" vertical="center"/>
    </xf>
    <xf numFmtId="1" fontId="130" fillId="0" borderId="10" xfId="0" applyNumberFormat="1" applyFont="1" applyBorder="1" applyAlignment="1">
      <alignment horizontal="left" vertical="center"/>
    </xf>
    <xf numFmtId="1" fontId="130" fillId="0" borderId="13" xfId="0" applyNumberFormat="1" applyFont="1" applyBorder="1" applyAlignment="1">
      <alignment horizontal="left" vertical="center"/>
    </xf>
    <xf numFmtId="1" fontId="130" fillId="0" borderId="29" xfId="0" applyNumberFormat="1" applyFont="1" applyBorder="1" applyAlignment="1">
      <alignment horizontal="left" vertical="center"/>
    </xf>
    <xf numFmtId="1" fontId="130" fillId="0" borderId="27" xfId="0" applyNumberFormat="1" applyFont="1" applyBorder="1" applyAlignment="1">
      <alignment horizontal="left" vertical="center"/>
    </xf>
    <xf numFmtId="1" fontId="131" fillId="0" borderId="0" xfId="0" applyNumberFormat="1" applyFont="1" applyAlignment="1">
      <alignment horizontal="left"/>
    </xf>
    <xf numFmtId="1" fontId="131" fillId="0" borderId="11" xfId="0" applyNumberFormat="1" applyFont="1" applyBorder="1" applyAlignment="1">
      <alignment horizontal="left" vertical="center"/>
    </xf>
    <xf numFmtId="1" fontId="131" fillId="0" borderId="12" xfId="0" applyNumberFormat="1" applyFont="1" applyBorder="1" applyAlignment="1">
      <alignment horizontal="left" vertical="center"/>
    </xf>
    <xf numFmtId="1" fontId="131" fillId="0" borderId="13" xfId="0" applyNumberFormat="1" applyFont="1" applyBorder="1" applyAlignment="1">
      <alignment horizontal="left" vertical="center"/>
    </xf>
    <xf numFmtId="1" fontId="131" fillId="0" borderId="10" xfId="0" applyNumberFormat="1" applyFont="1" applyBorder="1" applyAlignment="1">
      <alignment horizontal="left" vertical="center"/>
    </xf>
    <xf numFmtId="0" fontId="132" fillId="0" borderId="45" xfId="0" applyFont="1" applyBorder="1" applyAlignment="1">
      <alignment horizontal="left"/>
    </xf>
    <xf numFmtId="0" fontId="133" fillId="0" borderId="45" xfId="0" applyFont="1" applyBorder="1" applyAlignment="1">
      <alignment/>
    </xf>
    <xf numFmtId="2" fontId="134" fillId="0" borderId="27" xfId="0" applyNumberFormat="1" applyFont="1" applyBorder="1" applyAlignment="1">
      <alignment vertical="center"/>
    </xf>
    <xf numFmtId="2" fontId="134" fillId="0" borderId="29" xfId="0" applyNumberFormat="1" applyFont="1" applyBorder="1" applyAlignment="1">
      <alignment vertical="center"/>
    </xf>
    <xf numFmtId="2" fontId="134" fillId="0" borderId="29" xfId="0" applyNumberFormat="1" applyFont="1" applyBorder="1" applyAlignment="1">
      <alignment horizontal="right"/>
    </xf>
    <xf numFmtId="2" fontId="134" fillId="0" borderId="27" xfId="0" applyNumberFormat="1" applyFont="1" applyBorder="1" applyAlignment="1">
      <alignment horizontal="right"/>
    </xf>
    <xf numFmtId="2" fontId="130" fillId="0" borderId="29" xfId="0" applyNumberFormat="1" applyFont="1" applyBorder="1" applyAlignment="1">
      <alignment horizontal="right"/>
    </xf>
    <xf numFmtId="2" fontId="130" fillId="0" borderId="29" xfId="0" applyNumberFormat="1" applyFont="1" applyBorder="1" applyAlignment="1">
      <alignment horizontal="left"/>
    </xf>
    <xf numFmtId="2" fontId="134" fillId="0" borderId="29" xfId="42" applyNumberFormat="1" applyFont="1" applyBorder="1" applyAlignment="1">
      <alignment horizontal="right"/>
    </xf>
    <xf numFmtId="2" fontId="134" fillId="0" borderId="29" xfId="0" applyNumberFormat="1" applyFont="1" applyBorder="1" applyAlignment="1">
      <alignment horizontal="right" wrapText="1"/>
    </xf>
    <xf numFmtId="3" fontId="132" fillId="0" borderId="29" xfId="0" applyNumberFormat="1" applyFont="1" applyBorder="1" applyAlignment="1">
      <alignment horizontal="right"/>
    </xf>
    <xf numFmtId="2" fontId="134" fillId="0" borderId="29" xfId="0" applyNumberFormat="1" applyFont="1" applyFill="1" applyBorder="1" applyAlignment="1">
      <alignment horizontal="right"/>
    </xf>
    <xf numFmtId="0" fontId="133" fillId="0" borderId="0" xfId="0" applyFont="1" applyAlignment="1">
      <alignment/>
    </xf>
    <xf numFmtId="0" fontId="132" fillId="0" borderId="82" xfId="0" applyFont="1" applyBorder="1" applyAlignment="1">
      <alignment horizontal="left"/>
    </xf>
    <xf numFmtId="0" fontId="133" fillId="0" borderId="82" xfId="0" applyFont="1" applyBorder="1" applyAlignment="1">
      <alignment/>
    </xf>
    <xf numFmtId="2" fontId="134" fillId="0" borderId="77" xfId="0" applyNumberFormat="1" applyFont="1" applyBorder="1" applyAlignment="1">
      <alignment vertical="center"/>
    </xf>
    <xf numFmtId="2" fontId="134" fillId="0" borderId="81" xfId="0" applyNumberFormat="1" applyFont="1" applyBorder="1" applyAlignment="1">
      <alignment vertical="center"/>
    </xf>
    <xf numFmtId="2" fontId="134" fillId="0" borderId="81" xfId="0" applyNumberFormat="1" applyFont="1" applyBorder="1" applyAlignment="1">
      <alignment horizontal="right"/>
    </xf>
    <xf numFmtId="2" fontId="134" fillId="0" borderId="77" xfId="0" applyNumberFormat="1" applyFont="1" applyBorder="1" applyAlignment="1">
      <alignment horizontal="right"/>
    </xf>
    <xf numFmtId="2" fontId="130" fillId="0" borderId="81" xfId="0" applyNumberFormat="1" applyFont="1" applyBorder="1" applyAlignment="1">
      <alignment horizontal="right"/>
    </xf>
    <xf numFmtId="2" fontId="132" fillId="0" borderId="81" xfId="0" applyNumberFormat="1" applyFont="1" applyBorder="1" applyAlignment="1">
      <alignment horizontal="left"/>
    </xf>
    <xf numFmtId="2" fontId="134" fillId="0" borderId="81" xfId="42" applyNumberFormat="1" applyFont="1" applyBorder="1" applyAlignment="1">
      <alignment horizontal="right"/>
    </xf>
    <xf numFmtId="2" fontId="134" fillId="0" borderId="81" xfId="0" applyNumberFormat="1" applyFont="1" applyBorder="1" applyAlignment="1">
      <alignment horizontal="right" wrapText="1"/>
    </xf>
    <xf numFmtId="3" fontId="132" fillId="0" borderId="81" xfId="0" applyNumberFormat="1" applyFont="1" applyBorder="1" applyAlignment="1">
      <alignment horizontal="right"/>
    </xf>
    <xf numFmtId="2" fontId="134" fillId="0" borderId="81" xfId="0" applyNumberFormat="1" applyFont="1" applyFill="1" applyBorder="1" applyAlignment="1">
      <alignment horizontal="right"/>
    </xf>
    <xf numFmtId="2" fontId="134" fillId="0" borderId="29" xfId="44" applyNumberFormat="1" applyFont="1" applyBorder="1" applyAlignment="1">
      <alignment horizontal="right"/>
    </xf>
    <xf numFmtId="2" fontId="130" fillId="0" borderId="27" xfId="42" applyNumberFormat="1" applyFont="1" applyBorder="1" applyAlignment="1">
      <alignment horizontal="right"/>
    </xf>
    <xf numFmtId="2" fontId="130" fillId="0" borderId="29" xfId="42" applyNumberFormat="1" applyFont="1" applyBorder="1" applyAlignment="1">
      <alignment horizontal="right"/>
    </xf>
    <xf numFmtId="0" fontId="116" fillId="0" borderId="77" xfId="0" applyFont="1" applyFill="1" applyBorder="1" applyAlignment="1">
      <alignment horizontal="left" vertical="justify" wrapText="1"/>
    </xf>
    <xf numFmtId="0" fontId="97" fillId="0" borderId="11" xfId="0" applyFont="1" applyBorder="1" applyAlignment="1">
      <alignment/>
    </xf>
    <xf numFmtId="0" fontId="116" fillId="0" borderId="79" xfId="0" applyFont="1" applyFill="1" applyBorder="1" applyAlignment="1">
      <alignment horizontal="left" vertical="justify" wrapText="1"/>
    </xf>
    <xf numFmtId="0" fontId="97" fillId="0" borderId="24" xfId="0" applyFont="1" applyBorder="1" applyAlignment="1">
      <alignment/>
    </xf>
    <xf numFmtId="0" fontId="98" fillId="0" borderId="24" xfId="0" applyFont="1" applyBorder="1" applyAlignment="1">
      <alignment horizontal="center"/>
    </xf>
    <xf numFmtId="0" fontId="98" fillId="0" borderId="13" xfId="0" applyFont="1" applyBorder="1" applyAlignment="1">
      <alignment horizontal="center"/>
    </xf>
    <xf numFmtId="0" fontId="103" fillId="0" borderId="61" xfId="0" applyFont="1" applyBorder="1" applyAlignment="1">
      <alignment horizontal="left"/>
    </xf>
    <xf numFmtId="0" fontId="125" fillId="0" borderId="20" xfId="0" applyFont="1" applyBorder="1" applyAlignment="1">
      <alignment/>
    </xf>
    <xf numFmtId="0" fontId="125" fillId="0" borderId="66" xfId="0" applyFont="1" applyBorder="1" applyAlignment="1">
      <alignment/>
    </xf>
    <xf numFmtId="0" fontId="125" fillId="0" borderId="23" xfId="0" applyFont="1" applyBorder="1" applyAlignment="1">
      <alignment/>
    </xf>
    <xf numFmtId="0" fontId="125" fillId="0" borderId="22" xfId="0" applyFont="1" applyBorder="1" applyAlignment="1">
      <alignment/>
    </xf>
    <xf numFmtId="0" fontId="125" fillId="0" borderId="0" xfId="0" applyFont="1" applyAlignment="1">
      <alignment/>
    </xf>
    <xf numFmtId="0" fontId="99" fillId="0" borderId="13" xfId="0" applyFont="1" applyBorder="1" applyAlignment="1">
      <alignment horizontal="center"/>
    </xf>
    <xf numFmtId="0" fontId="99" fillId="0" borderId="24" xfId="0" applyFont="1" applyBorder="1" applyAlignment="1">
      <alignment horizontal="center"/>
    </xf>
    <xf numFmtId="0" fontId="99" fillId="0" borderId="11" xfId="0" applyFont="1" applyBorder="1" applyAlignment="1">
      <alignment horizontal="center"/>
    </xf>
    <xf numFmtId="0" fontId="99" fillId="0" borderId="10" xfId="0" applyFont="1" applyBorder="1" applyAlignment="1">
      <alignment horizontal="center"/>
    </xf>
    <xf numFmtId="0" fontId="125" fillId="0" borderId="11" xfId="0" applyFont="1" applyBorder="1" applyAlignment="1">
      <alignment/>
    </xf>
    <xf numFmtId="0" fontId="125" fillId="0" borderId="24" xfId="0" applyFont="1" applyBorder="1" applyAlignment="1">
      <alignment/>
    </xf>
    <xf numFmtId="0" fontId="125" fillId="0" borderId="10" xfId="0" applyFont="1" applyBorder="1" applyAlignment="1">
      <alignment/>
    </xf>
    <xf numFmtId="0" fontId="125" fillId="0" borderId="13" xfId="0" applyFont="1" applyBorder="1" applyAlignment="1">
      <alignment/>
    </xf>
    <xf numFmtId="0" fontId="97" fillId="0" borderId="16" xfId="0" applyFont="1" applyBorder="1" applyAlignment="1">
      <alignment/>
    </xf>
    <xf numFmtId="0" fontId="97" fillId="0" borderId="18" xfId="0" applyFont="1" applyBorder="1" applyAlignment="1">
      <alignment/>
    </xf>
    <xf numFmtId="0" fontId="97" fillId="0" borderId="44" xfId="0" applyFont="1" applyBorder="1" applyAlignment="1">
      <alignment/>
    </xf>
    <xf numFmtId="0" fontId="135" fillId="0" borderId="0" xfId="0" applyFont="1" applyAlignment="1">
      <alignment/>
    </xf>
    <xf numFmtId="0" fontId="97" fillId="0" borderId="17" xfId="0" applyFont="1" applyBorder="1" applyAlignment="1">
      <alignment/>
    </xf>
    <xf numFmtId="0" fontId="114" fillId="0" borderId="77" xfId="0" applyFont="1" applyBorder="1" applyAlignment="1">
      <alignment horizontal="left"/>
    </xf>
    <xf numFmtId="0" fontId="92" fillId="0" borderId="27" xfId="0" applyFont="1" applyBorder="1" applyAlignment="1">
      <alignment horizontal="left"/>
    </xf>
    <xf numFmtId="0" fontId="92" fillId="0" borderId="77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115" fillId="0" borderId="54" xfId="0" applyFont="1" applyBorder="1" applyAlignment="1">
      <alignment horizontal="left"/>
    </xf>
    <xf numFmtId="0" fontId="115" fillId="0" borderId="61" xfId="0" applyFont="1" applyBorder="1" applyAlignment="1">
      <alignment horizontal="left"/>
    </xf>
    <xf numFmtId="3" fontId="5" fillId="0" borderId="25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justify" wrapText="1"/>
    </xf>
    <xf numFmtId="1" fontId="11" fillId="0" borderId="64" xfId="0" applyNumberFormat="1" applyFont="1" applyFill="1" applyBorder="1" applyAlignment="1">
      <alignment horizontal="right"/>
    </xf>
    <xf numFmtId="1" fontId="11" fillId="0" borderId="48" xfId="0" applyNumberFormat="1" applyFont="1" applyFill="1" applyBorder="1" applyAlignment="1">
      <alignment horizontal="right"/>
    </xf>
    <xf numFmtId="1" fontId="11" fillId="0" borderId="47" xfId="0" applyNumberFormat="1" applyFont="1" applyBorder="1" applyAlignment="1">
      <alignment horizontal="left"/>
    </xf>
    <xf numFmtId="1" fontId="11" fillId="0" borderId="48" xfId="0" applyNumberFormat="1" applyFont="1" applyBorder="1" applyAlignment="1">
      <alignment horizontal="left"/>
    </xf>
    <xf numFmtId="1" fontId="3" fillId="0" borderId="64" xfId="0" applyNumberFormat="1" applyFont="1" applyBorder="1" applyAlignment="1">
      <alignment horizontal="left" vertical="center"/>
    </xf>
    <xf numFmtId="1" fontId="3" fillId="0" borderId="48" xfId="0" applyNumberFormat="1" applyFont="1" applyBorder="1" applyAlignment="1">
      <alignment horizontal="left" vertical="center"/>
    </xf>
    <xf numFmtId="1" fontId="92" fillId="0" borderId="13" xfId="0" applyNumberFormat="1" applyFont="1" applyBorder="1" applyAlignment="1">
      <alignment horizontal="left" vertical="center"/>
    </xf>
    <xf numFmtId="1" fontId="92" fillId="0" borderId="47" xfId="0" applyNumberFormat="1" applyFont="1" applyBorder="1" applyAlignment="1">
      <alignment horizontal="left"/>
    </xf>
    <xf numFmtId="1" fontId="92" fillId="0" borderId="48" xfId="0" applyNumberFormat="1" applyFont="1" applyBorder="1" applyAlignment="1">
      <alignment horizontal="left"/>
    </xf>
    <xf numFmtId="1" fontId="3" fillId="0" borderId="50" xfId="0" applyNumberFormat="1" applyFont="1" applyBorder="1" applyAlignment="1">
      <alignment horizontal="left" vertical="center"/>
    </xf>
    <xf numFmtId="1" fontId="92" fillId="0" borderId="64" xfId="0" applyNumberFormat="1" applyFont="1" applyBorder="1" applyAlignment="1">
      <alignment horizontal="left"/>
    </xf>
    <xf numFmtId="1" fontId="3" fillId="0" borderId="71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1" fontId="95" fillId="0" borderId="13" xfId="0" applyNumberFormat="1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3" fillId="0" borderId="43" xfId="0" applyNumberFormat="1" applyFont="1" applyBorder="1" applyAlignment="1">
      <alignment horizontal="left" vertical="center"/>
    </xf>
    <xf numFmtId="1" fontId="95" fillId="0" borderId="0" xfId="0" applyNumberFormat="1" applyFont="1" applyBorder="1" applyAlignment="1">
      <alignment horizontal="left"/>
    </xf>
    <xf numFmtId="0" fontId="95" fillId="0" borderId="25" xfId="0" applyFont="1" applyBorder="1" applyAlignment="1">
      <alignment horizontal="left"/>
    </xf>
    <xf numFmtId="1" fontId="95" fillId="0" borderId="47" xfId="0" applyNumberFormat="1" applyFont="1" applyBorder="1" applyAlignment="1">
      <alignment horizontal="left"/>
    </xf>
    <xf numFmtId="1" fontId="95" fillId="0" borderId="48" xfId="0" applyNumberFormat="1" applyFont="1" applyBorder="1" applyAlignment="1">
      <alignment horizontal="left"/>
    </xf>
    <xf numFmtId="0" fontId="91" fillId="0" borderId="27" xfId="0" applyFont="1" applyBorder="1" applyAlignment="1">
      <alignment horizontal="left"/>
    </xf>
    <xf numFmtId="2" fontId="91" fillId="0" borderId="27" xfId="0" applyNumberFormat="1" applyFont="1" applyBorder="1" applyAlignment="1">
      <alignment horizontal="left" vertical="center"/>
    </xf>
    <xf numFmtId="0" fontId="103" fillId="0" borderId="0" xfId="0" applyFont="1" applyAlignment="1">
      <alignment horizontal="left"/>
    </xf>
    <xf numFmtId="0" fontId="94" fillId="0" borderId="0" xfId="0" applyFont="1" applyAlignment="1">
      <alignment horizontal="left"/>
    </xf>
    <xf numFmtId="0" fontId="94" fillId="0" borderId="0" xfId="0" applyFont="1" applyAlignment="1">
      <alignment horizontal="center"/>
    </xf>
    <xf numFmtId="164" fontId="94" fillId="0" borderId="0" xfId="0" applyNumberFormat="1" applyFont="1" applyAlignment="1">
      <alignment horizontal="right"/>
    </xf>
    <xf numFmtId="0" fontId="0" fillId="0" borderId="0" xfId="0" applyAlignment="1">
      <alignment horizontal="justify" vertical="justify" wrapText="1"/>
    </xf>
    <xf numFmtId="0" fontId="103" fillId="0" borderId="12" xfId="0" applyFont="1" applyBorder="1" applyAlignment="1">
      <alignment horizontal="left"/>
    </xf>
    <xf numFmtId="164" fontId="94" fillId="0" borderId="12" xfId="0" applyNumberFormat="1" applyFont="1" applyBorder="1" applyAlignment="1">
      <alignment horizontal="right"/>
    </xf>
    <xf numFmtId="0" fontId="97" fillId="0" borderId="12" xfId="0" applyFont="1" applyBorder="1" applyAlignment="1">
      <alignment/>
    </xf>
    <xf numFmtId="0" fontId="94" fillId="0" borderId="12" xfId="0" applyFont="1" applyBorder="1" applyAlignment="1">
      <alignment horizontal="center"/>
    </xf>
    <xf numFmtId="0" fontId="103" fillId="0" borderId="14" xfId="0" applyFont="1" applyBorder="1" applyAlignment="1">
      <alignment horizontal="left"/>
    </xf>
    <xf numFmtId="3" fontId="94" fillId="0" borderId="12" xfId="0" applyNumberFormat="1" applyFont="1" applyBorder="1" applyAlignment="1">
      <alignment horizontal="right"/>
    </xf>
    <xf numFmtId="0" fontId="94" fillId="0" borderId="10" xfId="0" applyFont="1" applyBorder="1" applyAlignment="1">
      <alignment horizontal="center"/>
    </xf>
    <xf numFmtId="164" fontId="94" fillId="0" borderId="10" xfId="0" applyNumberFormat="1" applyFont="1" applyBorder="1" applyAlignment="1">
      <alignment horizontal="right"/>
    </xf>
    <xf numFmtId="0" fontId="97" fillId="0" borderId="21" xfId="0" applyFont="1" applyBorder="1" applyAlignment="1">
      <alignment/>
    </xf>
    <xf numFmtId="164" fontId="94" fillId="0" borderId="21" xfId="0" applyNumberFormat="1" applyFont="1" applyBorder="1" applyAlignment="1">
      <alignment horizontal="right"/>
    </xf>
    <xf numFmtId="0" fontId="97" fillId="0" borderId="22" xfId="0" applyFont="1" applyBorder="1" applyAlignment="1">
      <alignment/>
    </xf>
    <xf numFmtId="0" fontId="97" fillId="0" borderId="14" xfId="0" applyFont="1" applyBorder="1" applyAlignment="1">
      <alignment/>
    </xf>
    <xf numFmtId="0" fontId="103" fillId="0" borderId="52" xfId="0" applyFont="1" applyBorder="1" applyAlignment="1">
      <alignment horizontal="left"/>
    </xf>
    <xf numFmtId="0" fontId="99" fillId="0" borderId="52" xfId="0" applyFont="1" applyBorder="1" applyAlignment="1">
      <alignment/>
    </xf>
    <xf numFmtId="0" fontId="97" fillId="0" borderId="31" xfId="0" applyFont="1" applyBorder="1" applyAlignment="1">
      <alignment/>
    </xf>
    <xf numFmtId="0" fontId="94" fillId="0" borderId="31" xfId="0" applyFont="1" applyBorder="1" applyAlignment="1">
      <alignment horizontal="left"/>
    </xf>
    <xf numFmtId="164" fontId="94" fillId="0" borderId="31" xfId="0" applyNumberFormat="1" applyFont="1" applyBorder="1" applyAlignment="1">
      <alignment horizontal="right"/>
    </xf>
    <xf numFmtId="0" fontId="94" fillId="0" borderId="22" xfId="0" applyFont="1" applyBorder="1" applyAlignment="1">
      <alignment horizontal="center"/>
    </xf>
    <xf numFmtId="164" fontId="94" fillId="0" borderId="14" xfId="0" applyNumberFormat="1" applyFont="1" applyBorder="1" applyAlignment="1">
      <alignment horizontal="right"/>
    </xf>
    <xf numFmtId="0" fontId="103" fillId="0" borderId="80" xfId="0" applyFont="1" applyBorder="1" applyAlignment="1">
      <alignment horizontal="left"/>
    </xf>
    <xf numFmtId="0" fontId="103" fillId="0" borderId="83" xfId="0" applyFont="1" applyBorder="1" applyAlignment="1">
      <alignment horizontal="left"/>
    </xf>
    <xf numFmtId="0" fontId="103" fillId="0" borderId="85" xfId="0" applyFont="1" applyBorder="1" applyAlignment="1">
      <alignment horizontal="left"/>
    </xf>
    <xf numFmtId="0" fontId="103" fillId="0" borderId="83" xfId="0" applyFont="1" applyBorder="1" applyAlignment="1">
      <alignment horizontal="justify" vertical="justify" wrapText="1"/>
    </xf>
    <xf numFmtId="0" fontId="97" fillId="0" borderId="38" xfId="0" applyFont="1" applyBorder="1" applyAlignment="1">
      <alignment/>
    </xf>
    <xf numFmtId="0" fontId="99" fillId="0" borderId="85" xfId="0" applyFont="1" applyBorder="1" applyAlignment="1">
      <alignment/>
    </xf>
    <xf numFmtId="0" fontId="94" fillId="0" borderId="16" xfId="0" applyFont="1" applyBorder="1" applyAlignment="1">
      <alignment horizontal="left"/>
    </xf>
    <xf numFmtId="0" fontId="103" fillId="0" borderId="23" xfId="0" applyFont="1" applyBorder="1" applyAlignment="1">
      <alignment horizontal="left"/>
    </xf>
    <xf numFmtId="164" fontId="95" fillId="0" borderId="14" xfId="0" applyNumberFormat="1" applyFont="1" applyBorder="1" applyAlignment="1">
      <alignment horizontal="center"/>
    </xf>
    <xf numFmtId="164" fontId="95" fillId="0" borderId="12" xfId="0" applyNumberFormat="1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164" fontId="95" fillId="0" borderId="21" xfId="0" applyNumberFormat="1" applyFont="1" applyBorder="1" applyAlignment="1">
      <alignment horizontal="center"/>
    </xf>
    <xf numFmtId="164" fontId="97" fillId="0" borderId="18" xfId="0" applyNumberFormat="1" applyFont="1" applyBorder="1" applyAlignment="1">
      <alignment horizontal="center"/>
    </xf>
    <xf numFmtId="164" fontId="97" fillId="0" borderId="53" xfId="0" applyNumberFormat="1" applyFont="1" applyBorder="1" applyAlignment="1">
      <alignment horizontal="center"/>
    </xf>
    <xf numFmtId="164" fontId="97" fillId="0" borderId="18" xfId="0" applyNumberFormat="1" applyFont="1" applyBorder="1" applyAlignment="1">
      <alignment/>
    </xf>
    <xf numFmtId="0" fontId="97" fillId="0" borderId="14" xfId="0" applyFont="1" applyBorder="1" applyAlignment="1">
      <alignment horizontal="left"/>
    </xf>
    <xf numFmtId="0" fontId="97" fillId="0" borderId="12" xfId="0" applyFont="1" applyBorder="1" applyAlignment="1">
      <alignment horizontal="left"/>
    </xf>
    <xf numFmtId="0" fontId="97" fillId="0" borderId="31" xfId="0" applyFont="1" applyBorder="1" applyAlignment="1">
      <alignment horizontal="left"/>
    </xf>
    <xf numFmtId="0" fontId="103" fillId="0" borderId="83" xfId="0" applyFont="1" applyBorder="1" applyAlignment="1">
      <alignment horizontal="left" vertical="justify" wrapText="1"/>
    </xf>
    <xf numFmtId="0" fontId="97" fillId="0" borderId="2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16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0" fontId="9" fillId="0" borderId="12" xfId="0" applyFont="1" applyBorder="1" applyAlignment="1">
      <alignment/>
    </xf>
    <xf numFmtId="164" fontId="16" fillId="0" borderId="12" xfId="0" applyNumberFormat="1" applyFont="1" applyBorder="1" applyAlignment="1">
      <alignment horizontal="right"/>
    </xf>
    <xf numFmtId="0" fontId="16" fillId="0" borderId="12" xfId="0" applyFont="1" applyBorder="1" applyAlignment="1">
      <alignment horizontal="center"/>
    </xf>
    <xf numFmtId="3" fontId="16" fillId="0" borderId="12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1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5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/>
    </xf>
    <xf numFmtId="164" fontId="16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right"/>
    </xf>
    <xf numFmtId="0" fontId="16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61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9" fillId="0" borderId="66" xfId="0" applyFont="1" applyBorder="1" applyAlignment="1">
      <alignment/>
    </xf>
    <xf numFmtId="0" fontId="5" fillId="0" borderId="50" xfId="0" applyFont="1" applyBorder="1" applyAlignment="1">
      <alignment horizontal="justify" vertical="justify" wrapText="1"/>
    </xf>
    <xf numFmtId="0" fontId="5" fillId="0" borderId="51" xfId="0" applyFont="1" applyBorder="1" applyAlignment="1">
      <alignment horizontal="justify" vertical="justify" wrapText="1"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5" fillId="0" borderId="11" xfId="0" applyFont="1" applyBorder="1" applyAlignment="1">
      <alignment horizontal="left"/>
    </xf>
    <xf numFmtId="164" fontId="16" fillId="0" borderId="23" xfId="0" applyNumberFormat="1" applyFont="1" applyBorder="1" applyAlignment="1">
      <alignment horizontal="right"/>
    </xf>
    <xf numFmtId="3" fontId="16" fillId="0" borderId="21" xfId="0" applyNumberFormat="1" applyFont="1" applyBorder="1" applyAlignment="1">
      <alignment horizontal="right"/>
    </xf>
    <xf numFmtId="0" fontId="9" fillId="0" borderId="64" xfId="0" applyFont="1" applyBorder="1" applyAlignment="1">
      <alignment/>
    </xf>
    <xf numFmtId="0" fontId="17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4" fontId="16" fillId="0" borderId="20" xfId="0" applyNumberFormat="1" applyFont="1" applyBorder="1" applyAlignment="1">
      <alignment horizontal="right"/>
    </xf>
    <xf numFmtId="0" fontId="5" fillId="0" borderId="75" xfId="0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/>
    </xf>
    <xf numFmtId="3" fontId="16" fillId="0" borderId="22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0" fontId="5" fillId="0" borderId="27" xfId="0" applyFont="1" applyBorder="1" applyAlignment="1">
      <alignment horizontal="justify" vertical="justify" wrapText="1"/>
    </xf>
    <xf numFmtId="0" fontId="5" fillId="0" borderId="10" xfId="0" applyFont="1" applyBorder="1" applyAlignment="1">
      <alignment horizontal="justify" vertical="justify" wrapText="1"/>
    </xf>
    <xf numFmtId="0" fontId="5" fillId="0" borderId="74" xfId="0" applyFont="1" applyBorder="1" applyAlignment="1">
      <alignment horizontal="justify" vertical="justify" wrapText="1"/>
    </xf>
    <xf numFmtId="0" fontId="5" fillId="0" borderId="54" xfId="0" applyFont="1" applyBorder="1" applyAlignment="1">
      <alignment horizontal="justify" vertical="justify" wrapText="1"/>
    </xf>
    <xf numFmtId="164" fontId="9" fillId="0" borderId="13" xfId="0" applyNumberFormat="1" applyFont="1" applyBorder="1" applyAlignment="1">
      <alignment/>
    </xf>
    <xf numFmtId="0" fontId="98" fillId="0" borderId="67" xfId="0" applyFont="1" applyBorder="1" applyAlignment="1">
      <alignment vertical="center"/>
    </xf>
    <xf numFmtId="0" fontId="92" fillId="0" borderId="67" xfId="0" applyFont="1" applyBorder="1" applyAlignment="1">
      <alignment vertical="center"/>
    </xf>
    <xf numFmtId="0" fontId="98" fillId="33" borderId="67" xfId="0" applyFont="1" applyFill="1" applyBorder="1" applyAlignment="1">
      <alignment vertical="center"/>
    </xf>
    <xf numFmtId="0" fontId="99" fillId="0" borderId="39" xfId="0" applyFont="1" applyBorder="1" applyAlignment="1">
      <alignment horizontal="left" vertical="center"/>
    </xf>
    <xf numFmtId="0" fontId="124" fillId="0" borderId="39" xfId="0" applyFont="1" applyBorder="1" applyAlignment="1">
      <alignment horizontal="left" vertical="center"/>
    </xf>
    <xf numFmtId="0" fontId="125" fillId="0" borderId="0" xfId="0" applyFont="1" applyFill="1" applyBorder="1" applyAlignment="1">
      <alignment horizontal="left"/>
    </xf>
    <xf numFmtId="0" fontId="99" fillId="0" borderId="87" xfId="0" applyFont="1" applyBorder="1" applyAlignment="1">
      <alignment horizontal="center" vertical="center"/>
    </xf>
    <xf numFmtId="0" fontId="99" fillId="0" borderId="37" xfId="0" applyFont="1" applyBorder="1" applyAlignment="1">
      <alignment horizontal="center" vertical="center"/>
    </xf>
    <xf numFmtId="1" fontId="101" fillId="0" borderId="82" xfId="0" applyNumberFormat="1" applyFont="1" applyFill="1" applyBorder="1" applyAlignment="1">
      <alignment horizontal="center" vertical="justify" wrapText="1"/>
    </xf>
    <xf numFmtId="1" fontId="101" fillId="0" borderId="81" xfId="0" applyNumberFormat="1" applyFont="1" applyFill="1" applyBorder="1" applyAlignment="1">
      <alignment horizontal="center" vertical="justify" wrapText="1"/>
    </xf>
    <xf numFmtId="1" fontId="101" fillId="0" borderId="82" xfId="0" applyNumberFormat="1" applyFont="1" applyFill="1" applyBorder="1" applyAlignment="1">
      <alignment horizontal="center" vertical="center" wrapText="1"/>
    </xf>
    <xf numFmtId="1" fontId="101" fillId="0" borderId="81" xfId="0" applyNumberFormat="1" applyFont="1" applyFill="1" applyBorder="1" applyAlignment="1">
      <alignment horizontal="center" vertical="center" wrapText="1"/>
    </xf>
    <xf numFmtId="1" fontId="91" fillId="0" borderId="72" xfId="0" applyNumberFormat="1" applyFont="1" applyBorder="1" applyAlignment="1">
      <alignment horizontal="left" vertical="center" wrapText="1"/>
    </xf>
    <xf numFmtId="1" fontId="91" fillId="0" borderId="73" xfId="0" applyNumberFormat="1" applyFont="1" applyBorder="1" applyAlignment="1">
      <alignment horizontal="left" vertical="center" wrapText="1"/>
    </xf>
    <xf numFmtId="1" fontId="91" fillId="0" borderId="87" xfId="0" applyNumberFormat="1" applyFont="1" applyFill="1" applyBorder="1" applyAlignment="1">
      <alignment horizontal="center" vertical="center" wrapText="1"/>
    </xf>
    <xf numFmtId="1" fontId="91" fillId="0" borderId="72" xfId="0" applyNumberFormat="1" applyFont="1" applyFill="1" applyBorder="1" applyAlignment="1">
      <alignment horizontal="center" vertical="center" wrapText="1"/>
    </xf>
    <xf numFmtId="1" fontId="91" fillId="0" borderId="73" xfId="0" applyNumberFormat="1" applyFont="1" applyFill="1" applyBorder="1" applyAlignment="1">
      <alignment horizontal="center" vertical="center" wrapText="1"/>
    </xf>
    <xf numFmtId="1" fontId="91" fillId="0" borderId="72" xfId="0" applyNumberFormat="1" applyFont="1" applyBorder="1" applyAlignment="1">
      <alignment horizontal="center" vertical="center" wrapText="1"/>
    </xf>
    <xf numFmtId="1" fontId="91" fillId="0" borderId="73" xfId="0" applyNumberFormat="1" applyFont="1" applyBorder="1" applyAlignment="1">
      <alignment horizontal="center" vertical="center" wrapText="1"/>
    </xf>
    <xf numFmtId="1" fontId="91" fillId="0" borderId="55" xfId="0" applyNumberFormat="1" applyFont="1" applyFill="1" applyBorder="1" applyAlignment="1">
      <alignment horizontal="left" vertical="center" wrapText="1"/>
    </xf>
    <xf numFmtId="1" fontId="91" fillId="0" borderId="56" xfId="0" applyNumberFormat="1" applyFont="1" applyFill="1" applyBorder="1" applyAlignment="1">
      <alignment horizontal="left" vertical="center" wrapText="1"/>
    </xf>
    <xf numFmtId="1" fontId="91" fillId="0" borderId="58" xfId="0" applyNumberFormat="1" applyFont="1" applyFill="1" applyBorder="1" applyAlignment="1">
      <alignment horizontal="left" vertical="center" wrapText="1"/>
    </xf>
    <xf numFmtId="1" fontId="91" fillId="0" borderId="0" xfId="0" applyNumberFormat="1" applyFont="1" applyFill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91" fillId="0" borderId="54" xfId="0" applyNumberFormat="1" applyFont="1" applyBorder="1" applyAlignment="1">
      <alignment horizontal="left" vertical="center"/>
    </xf>
    <xf numFmtId="1" fontId="91" fillId="0" borderId="27" xfId="0" applyNumberFormat="1" applyFont="1" applyBorder="1" applyAlignment="1">
      <alignment horizontal="left" vertical="center"/>
    </xf>
    <xf numFmtId="1" fontId="91" fillId="0" borderId="87" xfId="0" applyNumberFormat="1" applyFont="1" applyBorder="1" applyAlignment="1">
      <alignment horizontal="left" vertical="center"/>
    </xf>
    <xf numFmtId="1" fontId="91" fillId="0" borderId="72" xfId="0" applyNumberFormat="1" applyFont="1" applyBorder="1" applyAlignment="1">
      <alignment horizontal="left" vertical="center"/>
    </xf>
    <xf numFmtId="1" fontId="91" fillId="0" borderId="73" xfId="0" applyNumberFormat="1" applyFont="1" applyBorder="1" applyAlignment="1">
      <alignment horizontal="left" vertical="center"/>
    </xf>
    <xf numFmtId="1" fontId="91" fillId="0" borderId="87" xfId="0" applyNumberFormat="1" applyFont="1" applyFill="1" applyBorder="1" applyAlignment="1">
      <alignment horizontal="left" vertical="center" wrapText="1"/>
    </xf>
    <xf numFmtId="1" fontId="91" fillId="0" borderId="72" xfId="0" applyNumberFormat="1" applyFont="1" applyFill="1" applyBorder="1" applyAlignment="1">
      <alignment horizontal="left" vertical="center" wrapText="1"/>
    </xf>
    <xf numFmtId="1" fontId="91" fillId="0" borderId="73" xfId="0" applyNumberFormat="1" applyFont="1" applyFill="1" applyBorder="1" applyAlignment="1">
      <alignment horizontal="left" vertical="center" wrapText="1"/>
    </xf>
    <xf numFmtId="0" fontId="91" fillId="0" borderId="72" xfId="0" applyFont="1" applyFill="1" applyBorder="1" applyAlignment="1">
      <alignment horizontal="center" vertical="center" wrapText="1"/>
    </xf>
    <xf numFmtId="0" fontId="91" fillId="0" borderId="73" xfId="0" applyFont="1" applyFill="1" applyBorder="1" applyAlignment="1">
      <alignment horizontal="center" vertical="center" wrapText="1"/>
    </xf>
    <xf numFmtId="0" fontId="91" fillId="0" borderId="72" xfId="0" applyFont="1" applyBorder="1" applyAlignment="1">
      <alignment horizontal="center" vertical="center" wrapText="1"/>
    </xf>
    <xf numFmtId="0" fontId="91" fillId="0" borderId="73" xfId="0" applyFont="1" applyBorder="1" applyAlignment="1">
      <alignment horizontal="center" vertical="center" wrapText="1"/>
    </xf>
    <xf numFmtId="1" fontId="91" fillId="0" borderId="72" xfId="0" applyNumberFormat="1" applyFont="1" applyBorder="1" applyAlignment="1">
      <alignment horizontal="center" vertical="justify" wrapText="1"/>
    </xf>
    <xf numFmtId="1" fontId="91" fillId="0" borderId="73" xfId="0" applyNumberFormat="1" applyFont="1" applyBorder="1" applyAlignment="1">
      <alignment horizontal="center" vertical="justify" wrapText="1"/>
    </xf>
    <xf numFmtId="1" fontId="91" fillId="0" borderId="87" xfId="0" applyNumberFormat="1" applyFont="1" applyBorder="1" applyAlignment="1">
      <alignment horizontal="center" vertical="center" wrapText="1"/>
    </xf>
    <xf numFmtId="0" fontId="99" fillId="0" borderId="68" xfId="0" applyFont="1" applyBorder="1" applyAlignment="1">
      <alignment horizontal="center" vertical="center" wrapText="1"/>
    </xf>
    <xf numFmtId="0" fontId="99" fillId="0" borderId="62" xfId="0" applyFont="1" applyBorder="1" applyAlignment="1">
      <alignment horizontal="center" vertical="center" wrapText="1"/>
    </xf>
    <xf numFmtId="0" fontId="99" fillId="0" borderId="86" xfId="0" applyFont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62" xfId="0" applyFont="1" applyFill="1" applyBorder="1" applyAlignment="1">
      <alignment horizontal="center" vertical="center" wrapText="1"/>
    </xf>
    <xf numFmtId="0" fontId="136" fillId="0" borderId="0" xfId="0" applyFont="1" applyBorder="1" applyAlignment="1">
      <alignment horizontal="left"/>
    </xf>
    <xf numFmtId="0" fontId="137" fillId="0" borderId="60" xfId="0" applyFont="1" applyBorder="1" applyAlignment="1">
      <alignment horizontal="center" vertical="center"/>
    </xf>
    <xf numFmtId="0" fontId="137" fillId="0" borderId="67" xfId="0" applyFont="1" applyBorder="1" applyAlignment="1">
      <alignment horizontal="center" vertical="center"/>
    </xf>
    <xf numFmtId="0" fontId="99" fillId="0" borderId="86" xfId="0" applyFont="1" applyBorder="1" applyAlignment="1">
      <alignment horizontal="center" vertical="center"/>
    </xf>
    <xf numFmtId="0" fontId="99" fillId="0" borderId="68" xfId="0" applyFont="1" applyBorder="1" applyAlignment="1">
      <alignment horizontal="center" vertical="center"/>
    </xf>
    <xf numFmtId="0" fontId="99" fillId="0" borderId="62" xfId="0" applyFont="1" applyBorder="1" applyAlignment="1">
      <alignment horizontal="center" vertical="center"/>
    </xf>
    <xf numFmtId="0" fontId="99" fillId="0" borderId="47" xfId="0" applyFont="1" applyFill="1" applyBorder="1" applyAlignment="1">
      <alignment horizontal="center" vertical="center" wrapText="1"/>
    </xf>
    <xf numFmtId="0" fontId="99" fillId="0" borderId="48" xfId="0" applyFont="1" applyFill="1" applyBorder="1" applyAlignment="1">
      <alignment horizontal="center" vertical="center" wrapText="1"/>
    </xf>
    <xf numFmtId="0" fontId="99" fillId="0" borderId="49" xfId="0" applyFont="1" applyFill="1" applyBorder="1" applyAlignment="1">
      <alignment horizontal="center" vertical="center" wrapText="1"/>
    </xf>
    <xf numFmtId="1" fontId="101" fillId="0" borderId="87" xfId="0" applyNumberFormat="1" applyFont="1" applyBorder="1" applyAlignment="1">
      <alignment horizontal="center" vertical="center" wrapText="1"/>
    </xf>
    <xf numFmtId="1" fontId="101" fillId="0" borderId="72" xfId="0" applyNumberFormat="1" applyFont="1" applyBorder="1" applyAlignment="1">
      <alignment horizontal="center" vertical="center" wrapText="1"/>
    </xf>
    <xf numFmtId="1" fontId="101" fillId="0" borderId="87" xfId="0" applyNumberFormat="1" applyFont="1" applyFill="1" applyBorder="1" applyAlignment="1">
      <alignment horizontal="center" vertical="center" wrapText="1"/>
    </xf>
    <xf numFmtId="1" fontId="101" fillId="0" borderId="72" xfId="0" applyNumberFormat="1" applyFont="1" applyFill="1" applyBorder="1" applyAlignment="1">
      <alignment horizontal="center" vertical="center" wrapText="1"/>
    </xf>
    <xf numFmtId="1" fontId="101" fillId="0" borderId="73" xfId="0" applyNumberFormat="1" applyFont="1" applyFill="1" applyBorder="1" applyAlignment="1">
      <alignment horizontal="center" vertical="center" wrapText="1"/>
    </xf>
    <xf numFmtId="1" fontId="136" fillId="0" borderId="0" xfId="0" applyNumberFormat="1" applyFont="1" applyBorder="1" applyAlignment="1">
      <alignment horizontal="left"/>
    </xf>
    <xf numFmtId="1" fontId="101" fillId="0" borderId="87" xfId="0" applyNumberFormat="1" applyFont="1" applyBorder="1" applyAlignment="1">
      <alignment horizontal="center" vertical="center"/>
    </xf>
    <xf numFmtId="1" fontId="101" fillId="0" borderId="37" xfId="0" applyNumberFormat="1" applyFont="1" applyBorder="1" applyAlignment="1">
      <alignment horizontal="center" vertical="center"/>
    </xf>
    <xf numFmtId="1" fontId="101" fillId="0" borderId="72" xfId="0" applyNumberFormat="1" applyFont="1" applyBorder="1" applyAlignment="1">
      <alignment horizontal="center" vertical="center"/>
    </xf>
    <xf numFmtId="1" fontId="101" fillId="0" borderId="73" xfId="0" applyNumberFormat="1" applyFont="1" applyBorder="1" applyAlignment="1">
      <alignment horizontal="center" vertical="center"/>
    </xf>
    <xf numFmtId="1" fontId="101" fillId="0" borderId="73" xfId="0" applyNumberFormat="1" applyFont="1" applyBorder="1" applyAlignment="1">
      <alignment horizontal="center" vertical="center" wrapText="1"/>
    </xf>
    <xf numFmtId="1" fontId="101" fillId="0" borderId="72" xfId="0" applyNumberFormat="1" applyFont="1" applyFill="1" applyBorder="1" applyAlignment="1">
      <alignment horizontal="left" vertical="center" wrapText="1"/>
    </xf>
    <xf numFmtId="1" fontId="101" fillId="0" borderId="73" xfId="0" applyNumberFormat="1" applyFont="1" applyFill="1" applyBorder="1" applyAlignment="1">
      <alignment horizontal="left" vertical="center" wrapText="1"/>
    </xf>
    <xf numFmtId="1" fontId="101" fillId="0" borderId="59" xfId="0" applyNumberFormat="1" applyFont="1" applyFill="1" applyBorder="1" applyAlignment="1">
      <alignment horizontal="left" vertical="center" wrapText="1"/>
    </xf>
    <xf numFmtId="1" fontId="101" fillId="0" borderId="56" xfId="0" applyNumberFormat="1" applyFont="1" applyFill="1" applyBorder="1" applyAlignment="1">
      <alignment horizontal="left" vertical="center" wrapText="1"/>
    </xf>
    <xf numFmtId="1" fontId="101" fillId="0" borderId="58" xfId="0" applyNumberFormat="1" applyFont="1" applyFill="1" applyBorder="1" applyAlignment="1">
      <alignment horizontal="left" vertical="center" wrapText="1"/>
    </xf>
    <xf numFmtId="1" fontId="125" fillId="0" borderId="0" xfId="0" applyNumberFormat="1" applyFont="1" applyFill="1" applyBorder="1" applyAlignment="1">
      <alignment horizontal="left"/>
    </xf>
    <xf numFmtId="1" fontId="101" fillId="0" borderId="34" xfId="0" applyNumberFormat="1" applyFont="1" applyBorder="1" applyAlignment="1">
      <alignment horizontal="left" vertical="center"/>
    </xf>
    <xf numFmtId="1" fontId="101" fillId="0" borderId="88" xfId="0" applyNumberFormat="1" applyFont="1" applyBorder="1" applyAlignment="1">
      <alignment horizontal="left" vertical="center"/>
    </xf>
    <xf numFmtId="1" fontId="101" fillId="0" borderId="87" xfId="0" applyNumberFormat="1" applyFont="1" applyFill="1" applyBorder="1" applyAlignment="1">
      <alignment horizontal="left" vertical="center"/>
    </xf>
    <xf numFmtId="1" fontId="101" fillId="0" borderId="72" xfId="0" applyNumberFormat="1" applyFont="1" applyFill="1" applyBorder="1" applyAlignment="1">
      <alignment horizontal="left" vertical="center"/>
    </xf>
    <xf numFmtId="1" fontId="101" fillId="0" borderId="73" xfId="0" applyNumberFormat="1" applyFont="1" applyFill="1" applyBorder="1" applyAlignment="1">
      <alignment horizontal="left" vertical="center"/>
    </xf>
    <xf numFmtId="0" fontId="99" fillId="0" borderId="87" xfId="0" applyFont="1" applyBorder="1" applyAlignment="1">
      <alignment horizontal="center" vertical="center" wrapText="1"/>
    </xf>
    <xf numFmtId="0" fontId="99" fillId="0" borderId="72" xfId="0" applyFont="1" applyBorder="1" applyAlignment="1">
      <alignment horizontal="center" vertical="center" wrapText="1"/>
    </xf>
    <xf numFmtId="0" fontId="99" fillId="0" borderId="73" xfId="0" applyFont="1" applyBorder="1" applyAlignment="1">
      <alignment horizontal="center" vertical="center" wrapText="1"/>
    </xf>
    <xf numFmtId="1" fontId="99" fillId="0" borderId="55" xfId="0" applyNumberFormat="1" applyFont="1" applyFill="1" applyBorder="1" applyAlignment="1">
      <alignment horizontal="left" vertical="center" wrapText="1"/>
    </xf>
    <xf numFmtId="1" fontId="99" fillId="0" borderId="56" xfId="0" applyNumberFormat="1" applyFont="1" applyFill="1" applyBorder="1" applyAlignment="1">
      <alignment horizontal="left" vertical="center" wrapText="1"/>
    </xf>
    <xf numFmtId="1" fontId="99" fillId="0" borderId="58" xfId="0" applyNumberFormat="1" applyFont="1" applyFill="1" applyBorder="1" applyAlignment="1">
      <alignment horizontal="left" vertical="center" wrapText="1"/>
    </xf>
    <xf numFmtId="1" fontId="99" fillId="0" borderId="72" xfId="0" applyNumberFormat="1" applyFont="1" applyBorder="1" applyAlignment="1">
      <alignment horizontal="center" vertical="center" wrapText="1"/>
    </xf>
    <xf numFmtId="1" fontId="99" fillId="0" borderId="73" xfId="0" applyNumberFormat="1" applyFont="1" applyBorder="1" applyAlignment="1">
      <alignment horizontal="center" vertical="center" wrapText="1"/>
    </xf>
    <xf numFmtId="1" fontId="99" fillId="0" borderId="87" xfId="0" applyNumberFormat="1" applyFont="1" applyBorder="1" applyAlignment="1">
      <alignment horizontal="center" vertical="center" wrapText="1"/>
    </xf>
    <xf numFmtId="1" fontId="99" fillId="0" borderId="87" xfId="0" applyNumberFormat="1" applyFont="1" applyBorder="1" applyAlignment="1">
      <alignment horizontal="left" vertical="center" wrapText="1"/>
    </xf>
    <xf numFmtId="1" fontId="99" fillId="0" borderId="72" xfId="0" applyNumberFormat="1" applyFont="1" applyBorder="1" applyAlignment="1">
      <alignment horizontal="left" vertical="center" wrapText="1"/>
    </xf>
    <xf numFmtId="1" fontId="99" fillId="0" borderId="73" xfId="0" applyNumberFormat="1" applyFont="1" applyBorder="1" applyAlignment="1">
      <alignment horizontal="left" vertical="center" wrapText="1"/>
    </xf>
    <xf numFmtId="1" fontId="99" fillId="0" borderId="87" xfId="0" applyNumberFormat="1" applyFont="1" applyFill="1" applyBorder="1" applyAlignment="1">
      <alignment horizontal="left" vertical="center" wrapText="1"/>
    </xf>
    <xf numFmtId="1" fontId="99" fillId="0" borderId="72" xfId="0" applyNumberFormat="1" applyFont="1" applyFill="1" applyBorder="1" applyAlignment="1">
      <alignment horizontal="left" vertical="center" wrapText="1"/>
    </xf>
    <xf numFmtId="1" fontId="99" fillId="0" borderId="73" xfId="0" applyNumberFormat="1" applyFont="1" applyFill="1" applyBorder="1" applyAlignment="1">
      <alignment horizontal="left" vertical="center" wrapText="1"/>
    </xf>
    <xf numFmtId="0" fontId="99" fillId="0" borderId="87" xfId="0" applyFont="1" applyFill="1" applyBorder="1" applyAlignment="1">
      <alignment horizontal="center" vertical="center" wrapText="1"/>
    </xf>
    <xf numFmtId="0" fontId="99" fillId="0" borderId="72" xfId="0" applyFont="1" applyFill="1" applyBorder="1" applyAlignment="1">
      <alignment horizontal="center" vertical="center" wrapText="1"/>
    </xf>
    <xf numFmtId="0" fontId="99" fillId="0" borderId="73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left"/>
    </xf>
    <xf numFmtId="0" fontId="96" fillId="0" borderId="0" xfId="0" applyFont="1" applyBorder="1" applyAlignment="1">
      <alignment horizontal="left"/>
    </xf>
    <xf numFmtId="0" fontId="137" fillId="0" borderId="54" xfId="0" applyFont="1" applyBorder="1" applyAlignment="1">
      <alignment horizontal="center" vertical="center"/>
    </xf>
    <xf numFmtId="0" fontId="137" fillId="0" borderId="61" xfId="0" applyFont="1" applyBorder="1" applyAlignment="1">
      <alignment horizontal="center" vertical="center"/>
    </xf>
    <xf numFmtId="0" fontId="99" fillId="0" borderId="72" xfId="0" applyFont="1" applyBorder="1" applyAlignment="1">
      <alignment horizontal="center" vertical="center"/>
    </xf>
    <xf numFmtId="0" fontId="99" fillId="0" borderId="73" xfId="0" applyFont="1" applyBorder="1" applyAlignment="1">
      <alignment horizontal="center" vertical="center"/>
    </xf>
    <xf numFmtId="0" fontId="99" fillId="0" borderId="55" xfId="0" applyFont="1" applyBorder="1" applyAlignment="1">
      <alignment horizontal="center" vertical="center" wrapText="1"/>
    </xf>
    <xf numFmtId="0" fontId="99" fillId="0" borderId="56" xfId="0" applyFont="1" applyBorder="1" applyAlignment="1">
      <alignment horizontal="center" vertical="center" wrapText="1"/>
    </xf>
    <xf numFmtId="0" fontId="99" fillId="0" borderId="58" xfId="0" applyFont="1" applyBorder="1" applyAlignment="1">
      <alignment horizontal="center" vertical="center" wrapText="1"/>
    </xf>
    <xf numFmtId="1" fontId="99" fillId="0" borderId="82" xfId="0" applyNumberFormat="1" applyFont="1" applyFill="1" applyBorder="1" applyAlignment="1">
      <alignment horizontal="center" vertical="center" wrapText="1"/>
    </xf>
    <xf numFmtId="1" fontId="99" fillId="0" borderId="81" xfId="0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 horizontal="center"/>
    </xf>
    <xf numFmtId="0" fontId="114" fillId="0" borderId="0" xfId="0" applyFont="1" applyAlignment="1">
      <alignment horizontal="left"/>
    </xf>
    <xf numFmtId="0" fontId="116" fillId="0" borderId="60" xfId="0" applyFont="1" applyBorder="1" applyAlignment="1">
      <alignment horizontal="center"/>
    </xf>
    <xf numFmtId="0" fontId="116" fillId="0" borderId="26" xfId="0" applyFont="1" applyBorder="1" applyAlignment="1">
      <alignment horizontal="center"/>
    </xf>
    <xf numFmtId="1" fontId="91" fillId="0" borderId="47" xfId="0" applyNumberFormat="1" applyFont="1" applyBorder="1" applyAlignment="1">
      <alignment horizontal="justify" vertical="justify" wrapText="1"/>
    </xf>
    <xf numFmtId="1" fontId="91" fillId="0" borderId="48" xfId="0" applyNumberFormat="1" applyFont="1" applyBorder="1" applyAlignment="1">
      <alignment horizontal="justify" vertical="justify" wrapText="1"/>
    </xf>
    <xf numFmtId="1" fontId="91" fillId="0" borderId="49" xfId="0" applyNumberFormat="1" applyFont="1" applyBorder="1" applyAlignment="1">
      <alignment horizontal="justify" vertical="justify" wrapText="1"/>
    </xf>
    <xf numFmtId="1" fontId="91" fillId="0" borderId="64" xfId="0" applyNumberFormat="1" applyFont="1" applyFill="1" applyBorder="1" applyAlignment="1">
      <alignment horizontal="justify" vertical="justify" wrapText="1"/>
    </xf>
    <xf numFmtId="1" fontId="91" fillId="0" borderId="48" xfId="0" applyNumberFormat="1" applyFont="1" applyFill="1" applyBorder="1" applyAlignment="1">
      <alignment horizontal="justify" vertical="justify" wrapText="1"/>
    </xf>
    <xf numFmtId="1" fontId="91" fillId="0" borderId="49" xfId="0" applyNumberFormat="1" applyFont="1" applyFill="1" applyBorder="1" applyAlignment="1">
      <alignment horizontal="justify" vertical="justify" wrapText="1"/>
    </xf>
    <xf numFmtId="1" fontId="91" fillId="0" borderId="47" xfId="0" applyNumberFormat="1" applyFont="1" applyFill="1" applyBorder="1" applyAlignment="1">
      <alignment horizontal="justify" vertical="justify" wrapText="1"/>
    </xf>
    <xf numFmtId="1" fontId="91" fillId="0" borderId="64" xfId="0" applyNumberFormat="1" applyFont="1" applyBorder="1" applyAlignment="1">
      <alignment horizontal="justify" vertical="justify" wrapText="1"/>
    </xf>
    <xf numFmtId="1" fontId="91" fillId="0" borderId="63" xfId="0" applyNumberFormat="1" applyFont="1" applyBorder="1" applyAlignment="1">
      <alignment horizontal="justify" vertical="justify" wrapText="1"/>
    </xf>
    <xf numFmtId="1" fontId="104" fillId="0" borderId="0" xfId="0" applyNumberFormat="1" applyFont="1" applyBorder="1" applyAlignment="1">
      <alignment horizontal="left"/>
    </xf>
    <xf numFmtId="1" fontId="101" fillId="0" borderId="38" xfId="0" applyNumberFormat="1" applyFont="1" applyBorder="1" applyAlignment="1">
      <alignment horizontal="center" vertical="center" wrapText="1"/>
    </xf>
    <xf numFmtId="1" fontId="101" fillId="0" borderId="39" xfId="0" applyNumberFormat="1" applyFont="1" applyBorder="1" applyAlignment="1">
      <alignment horizontal="center" vertical="center" wrapText="1"/>
    </xf>
    <xf numFmtId="1" fontId="101" fillId="0" borderId="82" xfId="0" applyNumberFormat="1" applyFont="1" applyBorder="1" applyAlignment="1">
      <alignment horizontal="center" vertical="center" wrapText="1"/>
    </xf>
    <xf numFmtId="1" fontId="101" fillId="0" borderId="81" xfId="0" applyNumberFormat="1" applyFont="1" applyBorder="1" applyAlignment="1">
      <alignment horizontal="center" vertical="center" wrapText="1"/>
    </xf>
    <xf numFmtId="1" fontId="101" fillId="0" borderId="79" xfId="0" applyNumberFormat="1" applyFont="1" applyBorder="1" applyAlignment="1">
      <alignment horizontal="center" vertical="center" wrapText="1"/>
    </xf>
    <xf numFmtId="1" fontId="101" fillId="0" borderId="87" xfId="0" applyNumberFormat="1" applyFont="1" applyBorder="1" applyAlignment="1">
      <alignment horizontal="center" vertical="justify" wrapText="1"/>
    </xf>
    <xf numFmtId="1" fontId="101" fillId="0" borderId="73" xfId="0" applyNumberFormat="1" applyFont="1" applyBorder="1" applyAlignment="1">
      <alignment horizontal="center" vertical="justify" wrapText="1"/>
    </xf>
    <xf numFmtId="1" fontId="101" fillId="0" borderId="37" xfId="0" applyNumberFormat="1" applyFont="1" applyBorder="1" applyAlignment="1">
      <alignment horizontal="center" vertical="center" wrapText="1"/>
    </xf>
    <xf numFmtId="0" fontId="101" fillId="0" borderId="87" xfId="0" applyFont="1" applyFill="1" applyBorder="1" applyAlignment="1">
      <alignment horizontal="center" vertical="center" wrapText="1"/>
    </xf>
    <xf numFmtId="0" fontId="101" fillId="0" borderId="73" xfId="0" applyFont="1" applyFill="1" applyBorder="1" applyAlignment="1">
      <alignment horizontal="center" vertical="center" wrapText="1"/>
    </xf>
    <xf numFmtId="1" fontId="101" fillId="0" borderId="37" xfId="0" applyNumberFormat="1" applyFont="1" applyFill="1" applyBorder="1" applyAlignment="1">
      <alignment horizontal="center" vertical="center" wrapText="1"/>
    </xf>
    <xf numFmtId="1" fontId="101" fillId="0" borderId="39" xfId="0" applyNumberFormat="1" applyFont="1" applyFill="1" applyBorder="1" applyAlignment="1">
      <alignment horizontal="center" vertical="center" wrapText="1"/>
    </xf>
    <xf numFmtId="0" fontId="101" fillId="0" borderId="37" xfId="0" applyFont="1" applyBorder="1" applyAlignment="1">
      <alignment horizontal="center" vertical="center" wrapText="1"/>
    </xf>
    <xf numFmtId="0" fontId="101" fillId="0" borderId="39" xfId="0" applyFont="1" applyBorder="1" applyAlignment="1">
      <alignment horizontal="center" vertical="center" wrapText="1"/>
    </xf>
    <xf numFmtId="0" fontId="119" fillId="0" borderId="86" xfId="0" applyFont="1" applyBorder="1" applyAlignment="1">
      <alignment horizontal="center"/>
    </xf>
    <xf numFmtId="0" fontId="119" fillId="0" borderId="70" xfId="0" applyFont="1" applyBorder="1" applyAlignment="1">
      <alignment horizontal="center"/>
    </xf>
    <xf numFmtId="0" fontId="119" fillId="0" borderId="79" xfId="0" applyFont="1" applyBorder="1" applyAlignment="1">
      <alignment horizontal="center"/>
    </xf>
    <xf numFmtId="0" fontId="119" fillId="0" borderId="81" xfId="0" applyFont="1" applyBorder="1" applyAlignment="1">
      <alignment horizontal="center"/>
    </xf>
    <xf numFmtId="0" fontId="91" fillId="0" borderId="86" xfId="0" applyFont="1" applyFill="1" applyBorder="1" applyAlignment="1">
      <alignment horizontal="center" vertical="center" wrapText="1"/>
    </xf>
    <xf numFmtId="0" fontId="91" fillId="0" borderId="68" xfId="0" applyFont="1" applyFill="1" applyBorder="1" applyAlignment="1">
      <alignment horizontal="center" vertical="center" wrapText="1"/>
    </xf>
    <xf numFmtId="0" fontId="91" fillId="0" borderId="62" xfId="0" applyFont="1" applyFill="1" applyBorder="1" applyAlignment="1">
      <alignment horizontal="center" vertical="center" wrapText="1"/>
    </xf>
    <xf numFmtId="0" fontId="119" fillId="0" borderId="82" xfId="0" applyFont="1" applyBorder="1" applyAlignment="1">
      <alignment horizontal="center"/>
    </xf>
    <xf numFmtId="0" fontId="119" fillId="0" borderId="72" xfId="0" applyFont="1" applyBorder="1" applyAlignment="1">
      <alignment horizontal="center"/>
    </xf>
    <xf numFmtId="0" fontId="119" fillId="0" borderId="73" xfId="0" applyFont="1" applyBorder="1" applyAlignment="1">
      <alignment horizontal="center"/>
    </xf>
    <xf numFmtId="0" fontId="91" fillId="0" borderId="82" xfId="0" applyFont="1" applyBorder="1" applyAlignment="1">
      <alignment horizontal="center" vertical="center" wrapText="1"/>
    </xf>
    <xf numFmtId="0" fontId="91" fillId="0" borderId="79" xfId="0" applyFont="1" applyBorder="1" applyAlignment="1">
      <alignment horizontal="center" vertical="center" wrapText="1"/>
    </xf>
    <xf numFmtId="0" fontId="91" fillId="0" borderId="81" xfId="0" applyFont="1" applyBorder="1" applyAlignment="1">
      <alignment horizontal="center" vertical="center" wrapText="1"/>
    </xf>
    <xf numFmtId="0" fontId="91" fillId="0" borderId="86" xfId="0" applyFont="1" applyBorder="1" applyAlignment="1">
      <alignment horizontal="center" vertical="center" wrapText="1"/>
    </xf>
    <xf numFmtId="0" fontId="91" fillId="0" borderId="68" xfId="0" applyFont="1" applyBorder="1" applyAlignment="1">
      <alignment horizontal="center" vertical="center" wrapText="1"/>
    </xf>
    <xf numFmtId="0" fontId="91" fillId="0" borderId="62" xfId="0" applyFont="1" applyBorder="1" applyAlignment="1">
      <alignment horizontal="center" vertical="center" wrapText="1"/>
    </xf>
    <xf numFmtId="0" fontId="119" fillId="0" borderId="87" xfId="0" applyFont="1" applyBorder="1" applyAlignment="1">
      <alignment horizontal="center"/>
    </xf>
    <xf numFmtId="0" fontId="91" fillId="0" borderId="47" xfId="0" applyFont="1" applyBorder="1" applyAlignment="1">
      <alignment horizontal="left" vertical="center" wrapText="1"/>
    </xf>
    <xf numFmtId="0" fontId="91" fillId="0" borderId="48" xfId="0" applyFont="1" applyBorder="1" applyAlignment="1">
      <alignment horizontal="left" vertical="center" wrapText="1"/>
    </xf>
    <xf numFmtId="0" fontId="91" fillId="0" borderId="49" xfId="0" applyFont="1" applyBorder="1" applyAlignment="1">
      <alignment horizontal="left" vertical="center" wrapText="1"/>
    </xf>
    <xf numFmtId="0" fontId="91" fillId="0" borderId="82" xfId="0" applyFont="1" applyFill="1" applyBorder="1" applyAlignment="1">
      <alignment horizontal="center" vertical="center" wrapText="1"/>
    </xf>
    <xf numFmtId="0" fontId="91" fillId="0" borderId="79" xfId="0" applyFont="1" applyFill="1" applyBorder="1" applyAlignment="1">
      <alignment horizontal="center" vertical="center" wrapText="1"/>
    </xf>
    <xf numFmtId="0" fontId="91" fillId="0" borderId="81" xfId="0" applyFont="1" applyFill="1" applyBorder="1" applyAlignment="1">
      <alignment horizontal="center" vertical="center" wrapText="1"/>
    </xf>
    <xf numFmtId="0" fontId="91" fillId="0" borderId="64" xfId="0" applyFont="1" applyBorder="1" applyAlignment="1">
      <alignment horizontal="left" vertical="center" wrapText="1"/>
    </xf>
    <xf numFmtId="0" fontId="91" fillId="0" borderId="80" xfId="0" applyFont="1" applyBorder="1" applyAlignment="1">
      <alignment horizontal="left" vertical="center" wrapText="1"/>
    </xf>
    <xf numFmtId="0" fontId="91" fillId="0" borderId="83" xfId="0" applyFont="1" applyBorder="1" applyAlignment="1">
      <alignment horizontal="left" vertical="center" wrapText="1"/>
    </xf>
    <xf numFmtId="0" fontId="91" fillId="0" borderId="85" xfId="0" applyFont="1" applyBorder="1" applyAlignment="1">
      <alignment horizontal="left" vertical="center" wrapText="1"/>
    </xf>
    <xf numFmtId="0" fontId="91" fillId="0" borderId="86" xfId="0" applyFont="1" applyBorder="1" applyAlignment="1">
      <alignment horizontal="left" vertical="center" wrapText="1"/>
    </xf>
    <xf numFmtId="0" fontId="91" fillId="0" borderId="68" xfId="0" applyFont="1" applyBorder="1" applyAlignment="1">
      <alignment horizontal="left" vertical="center" wrapText="1"/>
    </xf>
    <xf numFmtId="0" fontId="91" fillId="0" borderId="62" xfId="0" applyFont="1" applyBorder="1" applyAlignment="1">
      <alignment horizontal="left" vertical="center" wrapText="1"/>
    </xf>
    <xf numFmtId="0" fontId="91" fillId="0" borderId="79" xfId="0" applyFont="1" applyBorder="1" applyAlignment="1">
      <alignment horizontal="center" vertical="center"/>
    </xf>
    <xf numFmtId="0" fontId="91" fillId="0" borderId="81" xfId="0" applyFont="1" applyBorder="1" applyAlignment="1">
      <alignment horizontal="center" vertical="center"/>
    </xf>
    <xf numFmtId="0" fontId="91" fillId="0" borderId="72" xfId="0" applyFont="1" applyBorder="1" applyAlignment="1">
      <alignment horizontal="left" vertical="center" wrapText="1"/>
    </xf>
    <xf numFmtId="0" fontId="91" fillId="0" borderId="73" xfId="0" applyFont="1" applyBorder="1" applyAlignment="1">
      <alignment horizontal="left" vertical="center" wrapText="1"/>
    </xf>
    <xf numFmtId="0" fontId="101" fillId="0" borderId="82" xfId="0" applyFont="1" applyBorder="1" applyAlignment="1">
      <alignment horizontal="center" vertical="center" wrapText="1"/>
    </xf>
    <xf numFmtId="0" fontId="101" fillId="0" borderId="79" xfId="0" applyFont="1" applyBorder="1" applyAlignment="1">
      <alignment horizontal="center" vertical="center" wrapText="1"/>
    </xf>
    <xf numFmtId="0" fontId="101" fillId="0" borderId="81" xfId="0" applyFont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/>
    </xf>
    <xf numFmtId="0" fontId="104" fillId="0" borderId="0" xfId="0" applyFont="1" applyBorder="1" applyAlignment="1">
      <alignment horizontal="left"/>
    </xf>
    <xf numFmtId="1" fontId="91" fillId="0" borderId="82" xfId="0" applyNumberFormat="1" applyFont="1" applyBorder="1" applyAlignment="1">
      <alignment horizontal="center" vertical="justify" wrapText="1"/>
    </xf>
    <xf numFmtId="1" fontId="91" fillId="0" borderId="81" xfId="0" applyNumberFormat="1" applyFont="1" applyBorder="1" applyAlignment="1">
      <alignment horizontal="center" vertical="justify" wrapText="1"/>
    </xf>
    <xf numFmtId="1" fontId="91" fillId="0" borderId="82" xfId="0" applyNumberFormat="1" applyFont="1" applyBorder="1" applyAlignment="1">
      <alignment horizontal="center" vertical="center" wrapText="1"/>
    </xf>
    <xf numFmtId="1" fontId="91" fillId="0" borderId="81" xfId="0" applyNumberFormat="1" applyFont="1" applyBorder="1" applyAlignment="1">
      <alignment horizontal="center" vertical="center" wrapText="1"/>
    </xf>
    <xf numFmtId="1" fontId="91" fillId="0" borderId="82" xfId="0" applyNumberFormat="1" applyFont="1" applyFill="1" applyBorder="1" applyAlignment="1">
      <alignment horizontal="center" vertical="center" wrapText="1"/>
    </xf>
    <xf numFmtId="1" fontId="91" fillId="0" borderId="81" xfId="0" applyNumberFormat="1" applyFont="1" applyFill="1" applyBorder="1" applyAlignment="1">
      <alignment horizontal="center" vertical="center" wrapText="1"/>
    </xf>
    <xf numFmtId="0" fontId="91" fillId="0" borderId="87" xfId="0" applyFont="1" applyBorder="1" applyAlignment="1">
      <alignment horizontal="left" vertical="center" wrapText="1"/>
    </xf>
    <xf numFmtId="0" fontId="91" fillId="0" borderId="55" xfId="0" applyFont="1" applyBorder="1" applyAlignment="1">
      <alignment horizontal="left" vertical="center" wrapText="1"/>
    </xf>
    <xf numFmtId="0" fontId="91" fillId="0" borderId="56" xfId="0" applyFont="1" applyBorder="1" applyAlignment="1">
      <alignment horizontal="left" vertical="center" wrapText="1"/>
    </xf>
    <xf numFmtId="0" fontId="91" fillId="0" borderId="58" xfId="0" applyFont="1" applyBorder="1" applyAlignment="1">
      <alignment horizontal="left" vertical="center" wrapText="1"/>
    </xf>
    <xf numFmtId="0" fontId="91" fillId="0" borderId="59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/>
    </xf>
    <xf numFmtId="0" fontId="116" fillId="0" borderId="87" xfId="0" applyFont="1" applyBorder="1" applyAlignment="1">
      <alignment horizontal="left" vertical="center"/>
    </xf>
    <xf numFmtId="0" fontId="116" fillId="0" borderId="15" xfId="0" applyFont="1" applyBorder="1" applyAlignment="1">
      <alignment horizontal="left" vertical="center"/>
    </xf>
    <xf numFmtId="0" fontId="91" fillId="0" borderId="55" xfId="0" applyFont="1" applyBorder="1" applyAlignment="1">
      <alignment horizontal="left" vertical="center"/>
    </xf>
    <xf numFmtId="0" fontId="91" fillId="0" borderId="56" xfId="0" applyFont="1" applyBorder="1" applyAlignment="1">
      <alignment horizontal="left" vertical="center"/>
    </xf>
    <xf numFmtId="0" fontId="91" fillId="0" borderId="58" xfId="0" applyFont="1" applyBorder="1" applyAlignment="1">
      <alignment horizontal="left" vertical="center"/>
    </xf>
    <xf numFmtId="0" fontId="91" fillId="0" borderId="87" xfId="0" applyFont="1" applyFill="1" applyBorder="1" applyAlignment="1">
      <alignment horizontal="left" vertical="center" wrapText="1"/>
    </xf>
    <xf numFmtId="0" fontId="91" fillId="0" borderId="72" xfId="0" applyFont="1" applyFill="1" applyBorder="1" applyAlignment="1">
      <alignment horizontal="left" vertical="center" wrapText="1"/>
    </xf>
    <xf numFmtId="0" fontId="91" fillId="0" borderId="73" xfId="0" applyFont="1" applyFill="1" applyBorder="1" applyAlignment="1">
      <alignment horizontal="left" vertical="center" wrapText="1"/>
    </xf>
    <xf numFmtId="0" fontId="91" fillId="0" borderId="59" xfId="0" applyFont="1" applyFill="1" applyBorder="1" applyAlignment="1">
      <alignment horizontal="left" vertical="center" wrapText="1"/>
    </xf>
    <xf numFmtId="0" fontId="91" fillId="0" borderId="56" xfId="0" applyFont="1" applyFill="1" applyBorder="1" applyAlignment="1">
      <alignment horizontal="left" vertical="center" wrapText="1"/>
    </xf>
    <xf numFmtId="0" fontId="91" fillId="0" borderId="58" xfId="0" applyFont="1" applyFill="1" applyBorder="1" applyAlignment="1">
      <alignment horizontal="left" vertical="center" wrapText="1"/>
    </xf>
    <xf numFmtId="0" fontId="5" fillId="0" borderId="79" xfId="0" applyFont="1" applyBorder="1" applyAlignment="1">
      <alignment horizontal="justify" vertical="justify" wrapText="1"/>
    </xf>
    <xf numFmtId="0" fontId="5" fillId="0" borderId="81" xfId="0" applyFont="1" applyBorder="1" applyAlignment="1">
      <alignment horizontal="justify" vertical="justify" wrapText="1"/>
    </xf>
    <xf numFmtId="0" fontId="5" fillId="0" borderId="64" xfId="0" applyFont="1" applyBorder="1" applyAlignment="1">
      <alignment horizontal="justify" vertical="justify" wrapText="1"/>
    </xf>
    <xf numFmtId="0" fontId="5" fillId="0" borderId="48" xfId="0" applyFont="1" applyBorder="1" applyAlignment="1">
      <alignment horizontal="justify" vertical="justify" wrapText="1"/>
    </xf>
    <xf numFmtId="0" fontId="5" fillId="0" borderId="49" xfId="0" applyFont="1" applyBorder="1" applyAlignment="1">
      <alignment horizontal="justify" vertical="justify" wrapText="1"/>
    </xf>
    <xf numFmtId="0" fontId="5" fillId="0" borderId="82" xfId="0" applyFont="1" applyBorder="1" applyAlignment="1">
      <alignment horizontal="justify" vertical="justify" wrapText="1"/>
    </xf>
    <xf numFmtId="0" fontId="3" fillId="0" borderId="8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91" fillId="0" borderId="60" xfId="0" applyFont="1" applyBorder="1" applyAlignment="1">
      <alignment horizontal="left" vertical="center"/>
    </xf>
    <xf numFmtId="0" fontId="91" fillId="0" borderId="67" xfId="0" applyFont="1" applyBorder="1" applyAlignment="1">
      <alignment horizontal="left" vertical="center"/>
    </xf>
    <xf numFmtId="0" fontId="3" fillId="0" borderId="8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91" fillId="0" borderId="64" xfId="0" applyFont="1" applyFill="1" applyBorder="1" applyAlignment="1">
      <alignment horizontal="left" vertical="center" wrapText="1"/>
    </xf>
    <xf numFmtId="0" fontId="91" fillId="0" borderId="48" xfId="0" applyFont="1" applyFill="1" applyBorder="1" applyAlignment="1">
      <alignment horizontal="left" vertical="center" wrapText="1"/>
    </xf>
    <xf numFmtId="0" fontId="91" fillId="0" borderId="49" xfId="0" applyFont="1" applyFill="1" applyBorder="1" applyAlignment="1">
      <alignment horizontal="left" vertical="center" wrapText="1"/>
    </xf>
    <xf numFmtId="0" fontId="91" fillId="0" borderId="86" xfId="0" applyFont="1" applyBorder="1" applyAlignment="1">
      <alignment horizontal="left" vertical="center"/>
    </xf>
    <xf numFmtId="0" fontId="91" fillId="0" borderId="68" xfId="0" applyFont="1" applyBorder="1" applyAlignment="1">
      <alignment horizontal="left" vertical="center"/>
    </xf>
    <xf numFmtId="0" fontId="91" fillId="0" borderId="62" xfId="0" applyFont="1" applyBorder="1" applyAlignment="1">
      <alignment horizontal="left" vertical="center"/>
    </xf>
    <xf numFmtId="0" fontId="91" fillId="0" borderId="63" xfId="0" applyFont="1" applyBorder="1" applyAlignment="1">
      <alignment horizontal="left" vertical="center" wrapText="1"/>
    </xf>
    <xf numFmtId="1" fontId="91" fillId="0" borderId="47" xfId="0" applyNumberFormat="1" applyFont="1" applyBorder="1" applyAlignment="1">
      <alignment horizontal="left" vertical="center" wrapText="1"/>
    </xf>
    <xf numFmtId="1" fontId="91" fillId="0" borderId="48" xfId="0" applyNumberFormat="1" applyFont="1" applyBorder="1" applyAlignment="1">
      <alignment horizontal="left" vertical="center" wrapText="1"/>
    </xf>
    <xf numFmtId="1" fontId="91" fillId="0" borderId="49" xfId="0" applyNumberFormat="1" applyFont="1" applyBorder="1" applyAlignment="1">
      <alignment horizontal="left" vertical="center" wrapText="1"/>
    </xf>
    <xf numFmtId="1" fontId="91" fillId="0" borderId="64" xfId="0" applyNumberFormat="1" applyFont="1" applyBorder="1" applyAlignment="1">
      <alignment horizontal="left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87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0" borderId="87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99" fillId="0" borderId="60" xfId="0" applyFont="1" applyBorder="1" applyAlignment="1">
      <alignment horizontal="left" vertical="center"/>
    </xf>
    <xf numFmtId="0" fontId="99" fillId="0" borderId="26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 wrapText="1"/>
    </xf>
    <xf numFmtId="0" fontId="91" fillId="0" borderId="87" xfId="0" applyFont="1" applyBorder="1" applyAlignment="1">
      <alignment horizontal="center" vertical="center" wrapText="1"/>
    </xf>
    <xf numFmtId="0" fontId="91" fillId="0" borderId="87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 wrapText="1"/>
    </xf>
    <xf numFmtId="0" fontId="91" fillId="0" borderId="87" xfId="0" applyFont="1" applyBorder="1" applyAlignment="1">
      <alignment horizontal="left" vertical="center"/>
    </xf>
    <xf numFmtId="0" fontId="91" fillId="0" borderId="37" xfId="0" applyFont="1" applyBorder="1" applyAlignment="1">
      <alignment horizontal="left" vertical="center"/>
    </xf>
    <xf numFmtId="0" fontId="91" fillId="0" borderId="72" xfId="0" applyFont="1" applyBorder="1" applyAlignment="1">
      <alignment horizontal="left" vertical="center"/>
    </xf>
    <xf numFmtId="1" fontId="91" fillId="0" borderId="87" xfId="0" applyNumberFormat="1" applyFont="1" applyBorder="1" applyAlignment="1">
      <alignment horizontal="left" vertical="center" wrapText="1"/>
    </xf>
    <xf numFmtId="0" fontId="91" fillId="0" borderId="55" xfId="0" applyFont="1" applyBorder="1" applyAlignment="1">
      <alignment horizontal="center" vertical="center" wrapText="1"/>
    </xf>
    <xf numFmtId="0" fontId="91" fillId="0" borderId="56" xfId="0" applyFont="1" applyBorder="1" applyAlignment="1">
      <alignment horizontal="center" vertical="center" wrapText="1"/>
    </xf>
    <xf numFmtId="0" fontId="91" fillId="0" borderId="58" xfId="0" applyFont="1" applyBorder="1" applyAlignment="1">
      <alignment horizontal="center" vertical="center" wrapText="1"/>
    </xf>
    <xf numFmtId="0" fontId="91" fillId="0" borderId="60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0" fontId="91" fillId="0" borderId="87" xfId="0" applyFont="1" applyBorder="1" applyAlignment="1">
      <alignment horizontal="center" vertical="center"/>
    </xf>
    <xf numFmtId="0" fontId="91" fillId="0" borderId="72" xfId="0" applyFont="1" applyBorder="1" applyAlignment="1">
      <alignment horizontal="center" vertical="center"/>
    </xf>
    <xf numFmtId="0" fontId="91" fillId="0" borderId="73" xfId="0" applyFont="1" applyBorder="1" applyAlignment="1">
      <alignment horizontal="center" vertical="center"/>
    </xf>
    <xf numFmtId="1" fontId="99" fillId="0" borderId="87" xfId="0" applyNumberFormat="1" applyFont="1" applyFill="1" applyBorder="1" applyAlignment="1">
      <alignment horizontal="center" vertical="center" wrapText="1"/>
    </xf>
    <xf numFmtId="1" fontId="99" fillId="0" borderId="72" xfId="0" applyNumberFormat="1" applyFont="1" applyFill="1" applyBorder="1" applyAlignment="1">
      <alignment horizontal="center" vertical="center" wrapText="1"/>
    </xf>
    <xf numFmtId="1" fontId="99" fillId="0" borderId="73" xfId="0" applyNumberFormat="1" applyFont="1" applyFill="1" applyBorder="1" applyAlignment="1">
      <alignment horizontal="center" vertical="center" wrapText="1"/>
    </xf>
    <xf numFmtId="1" fontId="99" fillId="0" borderId="0" xfId="0" applyNumberFormat="1" applyFont="1" applyFill="1" applyBorder="1" applyAlignment="1">
      <alignment horizontal="left"/>
    </xf>
    <xf numFmtId="1" fontId="96" fillId="0" borderId="0" xfId="0" applyNumberFormat="1" applyFont="1" applyBorder="1" applyAlignment="1">
      <alignment horizontal="left"/>
    </xf>
    <xf numFmtId="1" fontId="99" fillId="0" borderId="54" xfId="0" applyNumberFormat="1" applyFont="1" applyBorder="1" applyAlignment="1">
      <alignment horizontal="left" vertical="center"/>
    </xf>
    <xf numFmtId="1" fontId="99" fillId="0" borderId="27" xfId="0" applyNumberFormat="1" applyFont="1" applyBorder="1" applyAlignment="1">
      <alignment horizontal="left" vertical="center"/>
    </xf>
    <xf numFmtId="1" fontId="99" fillId="0" borderId="87" xfId="0" applyNumberFormat="1" applyFont="1" applyBorder="1" applyAlignment="1">
      <alignment horizontal="center" vertical="center"/>
    </xf>
    <xf numFmtId="1" fontId="99" fillId="0" borderId="72" xfId="0" applyNumberFormat="1" applyFont="1" applyBorder="1" applyAlignment="1">
      <alignment horizontal="center" vertical="center"/>
    </xf>
    <xf numFmtId="1" fontId="99" fillId="0" borderId="73" xfId="0" applyNumberFormat="1" applyFont="1" applyBorder="1" applyAlignment="1">
      <alignment horizontal="center" vertical="center"/>
    </xf>
    <xf numFmtId="0" fontId="114" fillId="0" borderId="56" xfId="0" applyFont="1" applyBorder="1" applyAlignment="1">
      <alignment horizontal="left" vertical="justify" wrapText="1"/>
    </xf>
    <xf numFmtId="0" fontId="114" fillId="0" borderId="52" xfId="0" applyFont="1" applyBorder="1" applyAlignment="1">
      <alignment horizontal="left" vertical="justify" wrapText="1"/>
    </xf>
    <xf numFmtId="0" fontId="114" fillId="0" borderId="48" xfId="0" applyFont="1" applyBorder="1" applyAlignment="1">
      <alignment horizontal="center" vertical="justify" wrapText="1"/>
    </xf>
    <xf numFmtId="0" fontId="114" fillId="0" borderId="21" xfId="0" applyFont="1" applyBorder="1" applyAlignment="1">
      <alignment horizontal="center" vertical="justify" wrapText="1"/>
    </xf>
    <xf numFmtId="0" fontId="114" fillId="0" borderId="63" xfId="0" applyFont="1" applyBorder="1" applyAlignment="1">
      <alignment horizontal="left" vertical="justify" wrapText="1"/>
    </xf>
    <xf numFmtId="0" fontId="114" fillId="0" borderId="66" xfId="0" applyFont="1" applyBorder="1" applyAlignment="1">
      <alignment horizontal="left" vertical="justify" wrapText="1"/>
    </xf>
    <xf numFmtId="0" fontId="114" fillId="0" borderId="64" xfId="0" applyFont="1" applyBorder="1" applyAlignment="1">
      <alignment horizontal="center" vertical="justify" wrapText="1"/>
    </xf>
    <xf numFmtId="0" fontId="114" fillId="0" borderId="20" xfId="0" applyFont="1" applyBorder="1" applyAlignment="1">
      <alignment horizontal="center" vertical="justify" wrapText="1"/>
    </xf>
    <xf numFmtId="0" fontId="114" fillId="0" borderId="49" xfId="0" applyFont="1" applyBorder="1" applyAlignment="1">
      <alignment horizontal="center" vertical="justify" wrapText="1"/>
    </xf>
    <xf numFmtId="0" fontId="114" fillId="0" borderId="22" xfId="0" applyFont="1" applyBorder="1" applyAlignment="1">
      <alignment horizontal="center" vertical="justify" wrapText="1"/>
    </xf>
    <xf numFmtId="1" fontId="99" fillId="0" borderId="82" xfId="0" applyNumberFormat="1" applyFont="1" applyBorder="1" applyAlignment="1">
      <alignment horizontal="center" vertical="center"/>
    </xf>
    <xf numFmtId="1" fontId="99" fillId="0" borderId="79" xfId="0" applyNumberFormat="1" applyFont="1" applyBorder="1" applyAlignment="1">
      <alignment horizontal="center" vertical="center"/>
    </xf>
    <xf numFmtId="1" fontId="99" fillId="0" borderId="81" xfId="0" applyNumberFormat="1" applyFont="1" applyBorder="1" applyAlignment="1">
      <alignment horizontal="center" vertical="center"/>
    </xf>
    <xf numFmtId="0" fontId="114" fillId="0" borderId="63" xfId="0" applyFont="1" applyBorder="1" applyAlignment="1">
      <alignment horizontal="center" vertical="justify" wrapText="1"/>
    </xf>
    <xf numFmtId="0" fontId="114" fillId="0" borderId="66" xfId="0" applyFont="1" applyBorder="1" applyAlignment="1">
      <alignment horizontal="center" vertical="justify" wrapText="1"/>
    </xf>
    <xf numFmtId="1" fontId="99" fillId="0" borderId="82" xfId="0" applyNumberFormat="1" applyFont="1" applyBorder="1" applyAlignment="1">
      <alignment horizontal="center" vertical="center" wrapText="1"/>
    </xf>
    <xf numFmtId="1" fontId="99" fillId="0" borderId="79" xfId="0" applyNumberFormat="1" applyFont="1" applyBorder="1" applyAlignment="1">
      <alignment horizontal="center" vertical="center" wrapText="1"/>
    </xf>
    <xf numFmtId="1" fontId="99" fillId="0" borderId="81" xfId="0" applyNumberFormat="1" applyFont="1" applyBorder="1" applyAlignment="1">
      <alignment horizontal="center" vertical="center" wrapText="1"/>
    </xf>
    <xf numFmtId="0" fontId="138" fillId="0" borderId="80" xfId="0" applyFont="1" applyBorder="1" applyAlignment="1">
      <alignment horizontal="center" vertical="justify" wrapText="1"/>
    </xf>
    <xf numFmtId="0" fontId="138" fillId="0" borderId="83" xfId="0" applyFont="1" applyBorder="1" applyAlignment="1">
      <alignment horizontal="center" vertical="justify" wrapText="1"/>
    </xf>
    <xf numFmtId="0" fontId="138" fillId="0" borderId="85" xfId="0" applyFont="1" applyBorder="1" applyAlignment="1">
      <alignment horizontal="center" vertical="justify" wrapText="1"/>
    </xf>
    <xf numFmtId="1" fontId="99" fillId="0" borderId="79" xfId="0" applyNumberFormat="1" applyFont="1" applyFill="1" applyBorder="1" applyAlignment="1">
      <alignment horizontal="center" vertical="center" wrapText="1"/>
    </xf>
    <xf numFmtId="0" fontId="99" fillId="0" borderId="60" xfId="0" applyFont="1" applyBorder="1" applyAlignment="1">
      <alignment horizontal="center" vertical="center"/>
    </xf>
    <xf numFmtId="0" fontId="99" fillId="0" borderId="67" xfId="0" applyFont="1" applyBorder="1" applyAlignment="1">
      <alignment horizontal="center" vertical="center"/>
    </xf>
    <xf numFmtId="0" fontId="134" fillId="0" borderId="82" xfId="0" applyFont="1" applyBorder="1" applyAlignment="1">
      <alignment horizontal="center" vertical="center"/>
    </xf>
    <xf numFmtId="0" fontId="134" fillId="0" borderId="79" xfId="0" applyFont="1" applyBorder="1" applyAlignment="1">
      <alignment horizontal="center" vertical="center"/>
    </xf>
    <xf numFmtId="0" fontId="134" fillId="0" borderId="81" xfId="0" applyFont="1" applyBorder="1" applyAlignment="1">
      <alignment horizontal="center" vertical="center"/>
    </xf>
    <xf numFmtId="0" fontId="139" fillId="0" borderId="3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8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X6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L50" sqref="AL50"/>
    </sheetView>
  </sheetViews>
  <sheetFormatPr defaultColWidth="9.140625" defaultRowHeight="15"/>
  <cols>
    <col min="1" max="1" width="65.00390625" style="139" bestFit="1" customWidth="1"/>
    <col min="2" max="2" width="3.8515625" style="139" customWidth="1"/>
    <col min="3" max="4" width="14.57421875" style="139" bestFit="1" customWidth="1"/>
    <col min="5" max="6" width="14.421875" style="139" customWidth="1"/>
    <col min="7" max="8" width="16.28125" style="139" customWidth="1"/>
    <col min="9" max="9" width="14.421875" style="139" customWidth="1"/>
    <col min="10" max="10" width="16.7109375" style="139" customWidth="1"/>
    <col min="11" max="12" width="14.8515625" style="139" customWidth="1"/>
    <col min="13" max="13" width="18.28125" style="751" bestFit="1" customWidth="1"/>
    <col min="14" max="14" width="18.28125" style="751" customWidth="1"/>
    <col min="15" max="18" width="14.57421875" style="139" bestFit="1" customWidth="1"/>
    <col min="19" max="19" width="14.8515625" style="139" customWidth="1"/>
    <col min="20" max="48" width="14.57421875" style="139" bestFit="1" customWidth="1"/>
    <col min="49" max="50" width="15.7109375" style="139" bestFit="1" customWidth="1"/>
    <col min="51" max="16384" width="9.140625" style="139" customWidth="1"/>
  </cols>
  <sheetData>
    <row r="1" spans="1:50" ht="18.75" thickBot="1">
      <c r="A1" s="1878" t="s">
        <v>405</v>
      </c>
      <c r="B1" s="1878"/>
      <c r="C1" s="1878"/>
      <c r="D1" s="1878"/>
      <c r="E1" s="1878"/>
      <c r="F1" s="1878"/>
      <c r="G1" s="1878"/>
      <c r="H1" s="1878"/>
      <c r="I1" s="1878"/>
      <c r="J1" s="1878"/>
      <c r="K1" s="1878"/>
      <c r="L1" s="1878"/>
      <c r="M1" s="1878"/>
      <c r="N1" s="1878"/>
      <c r="O1" s="1878"/>
      <c r="P1" s="1878"/>
      <c r="Q1" s="1878"/>
      <c r="R1" s="1878"/>
      <c r="S1" s="1878"/>
      <c r="T1" s="1878"/>
      <c r="U1" s="1878"/>
      <c r="V1" s="1878"/>
      <c r="W1" s="1878"/>
      <c r="X1" s="1878"/>
      <c r="Y1" s="1878"/>
      <c r="Z1" s="1878"/>
      <c r="AA1" s="1878"/>
      <c r="AB1" s="1878"/>
      <c r="AC1" s="1878"/>
      <c r="AD1" s="1878"/>
      <c r="AE1" s="1878"/>
      <c r="AF1" s="1878"/>
      <c r="AG1" s="1878"/>
      <c r="AH1" s="1878"/>
      <c r="AI1" s="1878"/>
      <c r="AJ1" s="1878"/>
      <c r="AK1" s="1878"/>
      <c r="AL1" s="1878"/>
      <c r="AM1" s="1878"/>
      <c r="AN1" s="1878"/>
      <c r="AO1" s="1878"/>
      <c r="AP1" s="1878"/>
      <c r="AQ1" s="1878"/>
      <c r="AR1" s="1878"/>
      <c r="AS1" s="1878"/>
      <c r="AT1" s="1878"/>
      <c r="AU1" s="1878"/>
      <c r="AV1" s="1878"/>
      <c r="AW1" s="1878"/>
      <c r="AX1" s="1878"/>
    </row>
    <row r="2" spans="1:50" ht="69" customHeight="1" thickBot="1">
      <c r="A2" s="1879" t="s">
        <v>0</v>
      </c>
      <c r="B2" s="1177"/>
      <c r="C2" s="1881" t="s">
        <v>187</v>
      </c>
      <c r="D2" s="1882"/>
      <c r="E2" s="1883" t="s">
        <v>188</v>
      </c>
      <c r="F2" s="1884"/>
      <c r="G2" s="1883" t="s">
        <v>189</v>
      </c>
      <c r="H2" s="1884"/>
      <c r="I2" s="1883" t="s">
        <v>190</v>
      </c>
      <c r="J2" s="1884"/>
      <c r="K2" s="1883" t="s">
        <v>191</v>
      </c>
      <c r="L2" s="1884"/>
      <c r="M2" s="1883" t="s">
        <v>192</v>
      </c>
      <c r="N2" s="1884"/>
      <c r="O2" s="1883" t="s">
        <v>193</v>
      </c>
      <c r="P2" s="1884"/>
      <c r="Q2" s="1883" t="s">
        <v>194</v>
      </c>
      <c r="R2" s="1884"/>
      <c r="S2" s="1883" t="s">
        <v>195</v>
      </c>
      <c r="T2" s="1884"/>
      <c r="U2" s="1883" t="s">
        <v>196</v>
      </c>
      <c r="V2" s="1884"/>
      <c r="W2" s="1883" t="s">
        <v>197</v>
      </c>
      <c r="X2" s="1884"/>
      <c r="Y2" s="1883" t="s">
        <v>198</v>
      </c>
      <c r="Z2" s="1884"/>
      <c r="AA2" s="1883" t="s">
        <v>199</v>
      </c>
      <c r="AB2" s="1884"/>
      <c r="AC2" s="1883" t="s">
        <v>200</v>
      </c>
      <c r="AD2" s="1884"/>
      <c r="AE2" s="1883" t="s">
        <v>201</v>
      </c>
      <c r="AF2" s="1884"/>
      <c r="AG2" s="1883" t="s">
        <v>202</v>
      </c>
      <c r="AH2" s="1884"/>
      <c r="AI2" s="1883" t="s">
        <v>203</v>
      </c>
      <c r="AJ2" s="1884"/>
      <c r="AK2" s="1883" t="s">
        <v>204</v>
      </c>
      <c r="AL2" s="1884"/>
      <c r="AM2" s="1883" t="s">
        <v>205</v>
      </c>
      <c r="AN2" s="1884"/>
      <c r="AO2" s="1883" t="s">
        <v>206</v>
      </c>
      <c r="AP2" s="1884"/>
      <c r="AQ2" s="1883" t="s">
        <v>207</v>
      </c>
      <c r="AR2" s="1884"/>
      <c r="AS2" s="1883" t="s">
        <v>208</v>
      </c>
      <c r="AT2" s="1884"/>
      <c r="AU2" s="1883" t="s">
        <v>209</v>
      </c>
      <c r="AV2" s="1884"/>
      <c r="AW2" s="1883" t="s">
        <v>210</v>
      </c>
      <c r="AX2" s="1884"/>
    </row>
    <row r="3" spans="1:50" s="831" customFormat="1" ht="15" customHeight="1" thickBot="1">
      <c r="A3" s="1880"/>
      <c r="B3" s="1194"/>
      <c r="C3" s="896" t="s">
        <v>453</v>
      </c>
      <c r="D3" s="896" t="s">
        <v>454</v>
      </c>
      <c r="E3" s="896" t="s">
        <v>453</v>
      </c>
      <c r="F3" s="896" t="s">
        <v>454</v>
      </c>
      <c r="G3" s="896" t="s">
        <v>453</v>
      </c>
      <c r="H3" s="896" t="s">
        <v>454</v>
      </c>
      <c r="I3" s="896" t="s">
        <v>453</v>
      </c>
      <c r="J3" s="896" t="s">
        <v>454</v>
      </c>
      <c r="K3" s="896" t="s">
        <v>453</v>
      </c>
      <c r="L3" s="896" t="s">
        <v>454</v>
      </c>
      <c r="M3" s="896" t="s">
        <v>453</v>
      </c>
      <c r="N3" s="896" t="s">
        <v>454</v>
      </c>
      <c r="O3" s="896" t="s">
        <v>453</v>
      </c>
      <c r="P3" s="896" t="s">
        <v>454</v>
      </c>
      <c r="Q3" s="896" t="s">
        <v>453</v>
      </c>
      <c r="R3" s="896" t="s">
        <v>454</v>
      </c>
      <c r="S3" s="896" t="s">
        <v>453</v>
      </c>
      <c r="T3" s="896" t="s">
        <v>454</v>
      </c>
      <c r="U3" s="896" t="s">
        <v>453</v>
      </c>
      <c r="V3" s="896" t="s">
        <v>454</v>
      </c>
      <c r="W3" s="896" t="s">
        <v>453</v>
      </c>
      <c r="X3" s="896" t="s">
        <v>454</v>
      </c>
      <c r="Y3" s="896" t="s">
        <v>453</v>
      </c>
      <c r="Z3" s="896" t="s">
        <v>454</v>
      </c>
      <c r="AA3" s="896" t="s">
        <v>453</v>
      </c>
      <c r="AB3" s="896" t="s">
        <v>454</v>
      </c>
      <c r="AC3" s="896" t="s">
        <v>453</v>
      </c>
      <c r="AD3" s="896" t="s">
        <v>454</v>
      </c>
      <c r="AE3" s="896" t="s">
        <v>453</v>
      </c>
      <c r="AF3" s="896" t="s">
        <v>454</v>
      </c>
      <c r="AG3" s="896" t="s">
        <v>453</v>
      </c>
      <c r="AH3" s="896" t="s">
        <v>454</v>
      </c>
      <c r="AI3" s="896" t="s">
        <v>453</v>
      </c>
      <c r="AJ3" s="896" t="s">
        <v>454</v>
      </c>
      <c r="AK3" s="896" t="s">
        <v>453</v>
      </c>
      <c r="AL3" s="896" t="s">
        <v>454</v>
      </c>
      <c r="AM3" s="896" t="s">
        <v>453</v>
      </c>
      <c r="AN3" s="896" t="s">
        <v>454</v>
      </c>
      <c r="AO3" s="896" t="s">
        <v>453</v>
      </c>
      <c r="AP3" s="896" t="s">
        <v>454</v>
      </c>
      <c r="AQ3" s="896" t="s">
        <v>453</v>
      </c>
      <c r="AR3" s="896" t="s">
        <v>454</v>
      </c>
      <c r="AS3" s="896" t="s">
        <v>453</v>
      </c>
      <c r="AT3" s="896" t="s">
        <v>454</v>
      </c>
      <c r="AU3" s="896" t="s">
        <v>453</v>
      </c>
      <c r="AV3" s="896" t="s">
        <v>454</v>
      </c>
      <c r="AW3" s="896" t="s">
        <v>453</v>
      </c>
      <c r="AX3" s="896" t="s">
        <v>454</v>
      </c>
    </row>
    <row r="4" spans="1:50" ht="15" customHeight="1">
      <c r="A4" s="776" t="s">
        <v>21</v>
      </c>
      <c r="B4" s="779"/>
      <c r="C4" s="777"/>
      <c r="D4" s="1391"/>
      <c r="E4" s="778"/>
      <c r="F4" s="778"/>
      <c r="G4" s="781"/>
      <c r="H4" s="778"/>
      <c r="I4" s="778"/>
      <c r="J4" s="778"/>
      <c r="K4" s="778"/>
      <c r="L4" s="778"/>
      <c r="M4" s="784"/>
      <c r="N4" s="784"/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778"/>
      <c r="Z4" s="778"/>
      <c r="AA4" s="778"/>
      <c r="AB4" s="778"/>
      <c r="AC4" s="778"/>
      <c r="AD4" s="778"/>
      <c r="AE4" s="778"/>
      <c r="AF4" s="778"/>
      <c r="AG4" s="778"/>
      <c r="AH4" s="778"/>
      <c r="AI4" s="778"/>
      <c r="AJ4" s="778"/>
      <c r="AK4" s="778"/>
      <c r="AL4" s="778"/>
      <c r="AM4" s="778"/>
      <c r="AN4" s="778"/>
      <c r="AO4" s="778"/>
      <c r="AP4" s="778"/>
      <c r="AQ4" s="778"/>
      <c r="AR4" s="778"/>
      <c r="AS4" s="778"/>
      <c r="AT4" s="778"/>
      <c r="AU4" s="778"/>
      <c r="AV4" s="778"/>
      <c r="AW4" s="781"/>
      <c r="AX4" s="778"/>
    </row>
    <row r="5" spans="1:50" ht="25.5" customHeight="1">
      <c r="A5" s="687" t="s">
        <v>22</v>
      </c>
      <c r="B5" s="775" t="s">
        <v>332</v>
      </c>
      <c r="C5" s="771">
        <v>12606935</v>
      </c>
      <c r="D5" s="1392">
        <v>12672599</v>
      </c>
      <c r="E5" s="773">
        <v>1056989</v>
      </c>
      <c r="F5" s="773">
        <v>893303</v>
      </c>
      <c r="G5" s="782">
        <v>2205252</v>
      </c>
      <c r="H5" s="773">
        <v>2199674</v>
      </c>
      <c r="I5" s="773">
        <v>18366955</v>
      </c>
      <c r="J5" s="773">
        <v>13614681</v>
      </c>
      <c r="K5" s="773">
        <v>4146848</v>
      </c>
      <c r="L5" s="773">
        <v>3653277</v>
      </c>
      <c r="M5" s="785">
        <v>8522289</v>
      </c>
      <c r="N5" s="785">
        <v>6675009</v>
      </c>
      <c r="O5" s="773">
        <v>2999791</v>
      </c>
      <c r="P5" s="1395">
        <v>4852656</v>
      </c>
      <c r="Q5" s="787">
        <v>1646094</v>
      </c>
      <c r="R5" s="787">
        <v>1251213</v>
      </c>
      <c r="S5" s="773">
        <v>5723535</v>
      </c>
      <c r="T5" s="773">
        <v>5043625</v>
      </c>
      <c r="U5" s="773">
        <v>2347064</v>
      </c>
      <c r="V5" s="773">
        <v>1584467</v>
      </c>
      <c r="W5" s="773">
        <v>65357676</v>
      </c>
      <c r="X5" s="773">
        <v>50577032</v>
      </c>
      <c r="Y5" s="773">
        <v>63292782</v>
      </c>
      <c r="Z5" s="773">
        <v>55179020</v>
      </c>
      <c r="AA5" s="791">
        <v>2981106</v>
      </c>
      <c r="AB5" s="791">
        <v>2904290</v>
      </c>
      <c r="AC5" s="773">
        <v>7148326</v>
      </c>
      <c r="AD5" s="773">
        <v>5399170</v>
      </c>
      <c r="AE5" s="773">
        <v>16402505</v>
      </c>
      <c r="AF5" s="773">
        <v>11877337</v>
      </c>
      <c r="AG5" s="773">
        <v>26508163</v>
      </c>
      <c r="AH5" s="773">
        <v>23204974</v>
      </c>
      <c r="AI5" s="773">
        <v>9286065</v>
      </c>
      <c r="AJ5" s="773">
        <v>7782808</v>
      </c>
      <c r="AK5" s="773">
        <v>8391036</v>
      </c>
      <c r="AL5" s="773">
        <v>7593192</v>
      </c>
      <c r="AM5" s="794"/>
      <c r="AN5" s="794"/>
      <c r="AO5" s="795">
        <v>66944378</v>
      </c>
      <c r="AP5" s="795">
        <v>47589645</v>
      </c>
      <c r="AQ5" s="798">
        <v>2887936</v>
      </c>
      <c r="AR5" s="798">
        <v>2775292</v>
      </c>
      <c r="AS5" s="792">
        <v>2554097</v>
      </c>
      <c r="AT5" s="792">
        <v>2638364</v>
      </c>
      <c r="AU5" s="773">
        <v>13028346</v>
      </c>
      <c r="AV5" s="773">
        <v>8374484</v>
      </c>
      <c r="AW5" s="1473">
        <v>865710979</v>
      </c>
      <c r="AX5" s="792">
        <v>639180800</v>
      </c>
    </row>
    <row r="6" spans="1:50" ht="16.5">
      <c r="A6" s="687" t="s">
        <v>333</v>
      </c>
      <c r="B6" s="780"/>
      <c r="C6" s="771">
        <v>-611619</v>
      </c>
      <c r="D6" s="1392">
        <v>-512013</v>
      </c>
      <c r="E6" s="773">
        <v>-146076</v>
      </c>
      <c r="F6" s="773">
        <v>-116894</v>
      </c>
      <c r="G6" s="782">
        <v>-150140</v>
      </c>
      <c r="H6" s="773">
        <v>-134421</v>
      </c>
      <c r="I6" s="773">
        <v>-161936</v>
      </c>
      <c r="J6" s="773">
        <v>-97378</v>
      </c>
      <c r="K6" s="773">
        <v>-72602</v>
      </c>
      <c r="L6" s="773">
        <v>-63374</v>
      </c>
      <c r="M6" s="785">
        <v>-301941</v>
      </c>
      <c r="N6" s="785">
        <v>-205451</v>
      </c>
      <c r="O6" s="773">
        <v>-280827</v>
      </c>
      <c r="P6" s="773">
        <v>-281412</v>
      </c>
      <c r="Q6" s="788">
        <v>-105390</v>
      </c>
      <c r="R6" s="788">
        <v>-56350</v>
      </c>
      <c r="S6" s="773">
        <v>-298794</v>
      </c>
      <c r="T6" s="773">
        <v>-313104</v>
      </c>
      <c r="U6" s="773">
        <v>-109086</v>
      </c>
      <c r="V6" s="773">
        <v>-81484</v>
      </c>
      <c r="W6" s="773">
        <v>-846059</v>
      </c>
      <c r="X6" s="773">
        <v>-564189</v>
      </c>
      <c r="Y6" s="773">
        <v>-1211434</v>
      </c>
      <c r="Z6" s="773">
        <v>-800781</v>
      </c>
      <c r="AA6" s="791">
        <v>-28164</v>
      </c>
      <c r="AB6" s="791">
        <v>-21203</v>
      </c>
      <c r="AC6" s="773">
        <v>-197080</v>
      </c>
      <c r="AD6" s="773">
        <v>-330451</v>
      </c>
      <c r="AE6" s="773">
        <v>-345615</v>
      </c>
      <c r="AF6" s="773">
        <v>-283710</v>
      </c>
      <c r="AG6" s="773">
        <v>-508977</v>
      </c>
      <c r="AH6" s="773">
        <v>-395504</v>
      </c>
      <c r="AI6" s="773">
        <v>-370563</v>
      </c>
      <c r="AJ6" s="773">
        <v>-296181</v>
      </c>
      <c r="AK6" s="773">
        <v>-48471</v>
      </c>
      <c r="AL6" s="773">
        <v>-46351</v>
      </c>
      <c r="AM6" s="794"/>
      <c r="AN6" s="794"/>
      <c r="AO6" s="795">
        <v>-394195</v>
      </c>
      <c r="AP6" s="795">
        <v>-44459</v>
      </c>
      <c r="AQ6" s="798">
        <v>-13105</v>
      </c>
      <c r="AR6" s="798">
        <v>-10652</v>
      </c>
      <c r="AS6" s="792">
        <v>-402629</v>
      </c>
      <c r="AT6" s="792">
        <v>-257278</v>
      </c>
      <c r="AU6" s="773">
        <v>-416706</v>
      </c>
      <c r="AV6" s="773">
        <v>-234203</v>
      </c>
      <c r="AW6" s="1473">
        <v>-485572</v>
      </c>
      <c r="AX6" s="792">
        <v>-521197</v>
      </c>
    </row>
    <row r="7" spans="1:50" ht="16.5">
      <c r="A7" s="687" t="s">
        <v>334</v>
      </c>
      <c r="B7" s="780"/>
      <c r="C7" s="771"/>
      <c r="D7" s="1392"/>
      <c r="E7" s="773"/>
      <c r="F7" s="773"/>
      <c r="G7" s="782"/>
      <c r="H7" s="773"/>
      <c r="I7" s="773"/>
      <c r="J7" s="773"/>
      <c r="K7" s="773"/>
      <c r="L7" s="773"/>
      <c r="M7" s="785"/>
      <c r="N7" s="785"/>
      <c r="O7" s="773"/>
      <c r="P7" s="773"/>
      <c r="Q7" s="788"/>
      <c r="R7" s="788"/>
      <c r="S7" s="773"/>
      <c r="T7" s="773"/>
      <c r="U7" s="773"/>
      <c r="V7" s="773"/>
      <c r="W7" s="773"/>
      <c r="X7" s="773"/>
      <c r="Y7" s="773"/>
      <c r="Z7" s="773"/>
      <c r="AA7" s="791"/>
      <c r="AB7" s="791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94"/>
      <c r="AN7" s="794"/>
      <c r="AO7" s="755"/>
      <c r="AP7" s="755"/>
      <c r="AQ7" s="798"/>
      <c r="AR7" s="798"/>
      <c r="AS7" s="792"/>
      <c r="AT7" s="792"/>
      <c r="AU7" s="773"/>
      <c r="AV7" s="773"/>
      <c r="AW7" s="1473"/>
      <c r="AX7" s="792"/>
    </row>
    <row r="8" spans="1:50" ht="16.5">
      <c r="A8" s="775" t="s">
        <v>335</v>
      </c>
      <c r="B8" s="780"/>
      <c r="C8" s="771">
        <f>SUM(C5:C7)</f>
        <v>11995316</v>
      </c>
      <c r="D8" s="771">
        <f>SUM(D5:D7)</f>
        <v>12160586</v>
      </c>
      <c r="E8" s="773">
        <v>910913</v>
      </c>
      <c r="F8" s="773">
        <v>776409</v>
      </c>
      <c r="G8" s="782">
        <f>SUM(G5:G7)</f>
        <v>2055112</v>
      </c>
      <c r="H8" s="782">
        <f>SUM(H5:H7)</f>
        <v>2065253</v>
      </c>
      <c r="I8" s="773">
        <f>SUM(I5:I7)</f>
        <v>18205019</v>
      </c>
      <c r="J8" s="773">
        <v>13517303</v>
      </c>
      <c r="K8" s="773">
        <f>SUM(K5:K7)</f>
        <v>4074246</v>
      </c>
      <c r="L8" s="773">
        <f>SUM(L5:L7)</f>
        <v>3589903</v>
      </c>
      <c r="M8" s="773">
        <f aca="true" t="shared" si="0" ref="M8:AV8">SUM(M5:M7)</f>
        <v>8220348</v>
      </c>
      <c r="N8" s="773">
        <f t="shared" si="0"/>
        <v>6469558</v>
      </c>
      <c r="O8" s="773">
        <f t="shared" si="0"/>
        <v>2718964</v>
      </c>
      <c r="P8" s="773">
        <f t="shared" si="0"/>
        <v>4571244</v>
      </c>
      <c r="Q8" s="773">
        <f t="shared" si="0"/>
        <v>1540704</v>
      </c>
      <c r="R8" s="773">
        <f t="shared" si="0"/>
        <v>1194863</v>
      </c>
      <c r="S8" s="773">
        <f t="shared" si="0"/>
        <v>5424741</v>
      </c>
      <c r="T8" s="773">
        <f t="shared" si="0"/>
        <v>4730521</v>
      </c>
      <c r="U8" s="773">
        <f t="shared" si="0"/>
        <v>2237978</v>
      </c>
      <c r="V8" s="773">
        <f t="shared" si="0"/>
        <v>1502983</v>
      </c>
      <c r="W8" s="773">
        <f t="shared" si="0"/>
        <v>64511617</v>
      </c>
      <c r="X8" s="773">
        <f t="shared" si="0"/>
        <v>50012843</v>
      </c>
      <c r="Y8" s="773">
        <f t="shared" si="0"/>
        <v>62081348</v>
      </c>
      <c r="Z8" s="773">
        <f t="shared" si="0"/>
        <v>54378239</v>
      </c>
      <c r="AA8" s="773">
        <f t="shared" si="0"/>
        <v>2952942</v>
      </c>
      <c r="AB8" s="773">
        <f t="shared" si="0"/>
        <v>2883087</v>
      </c>
      <c r="AC8" s="773">
        <f t="shared" si="0"/>
        <v>6951246</v>
      </c>
      <c r="AD8" s="773">
        <f t="shared" si="0"/>
        <v>5068719</v>
      </c>
      <c r="AE8" s="773">
        <f t="shared" si="0"/>
        <v>16056890</v>
      </c>
      <c r="AF8" s="773">
        <f t="shared" si="0"/>
        <v>11593627</v>
      </c>
      <c r="AG8" s="773">
        <f t="shared" si="0"/>
        <v>25999186</v>
      </c>
      <c r="AH8" s="773">
        <f t="shared" si="0"/>
        <v>22809470</v>
      </c>
      <c r="AI8" s="773">
        <f t="shared" si="0"/>
        <v>8915502</v>
      </c>
      <c r="AJ8" s="773">
        <f t="shared" si="0"/>
        <v>7486627</v>
      </c>
      <c r="AK8" s="773">
        <f t="shared" si="0"/>
        <v>8342565</v>
      </c>
      <c r="AL8" s="773">
        <f t="shared" si="0"/>
        <v>7546841</v>
      </c>
      <c r="AM8" s="773">
        <f t="shared" si="0"/>
        <v>0</v>
      </c>
      <c r="AN8" s="773">
        <f t="shared" si="0"/>
        <v>0</v>
      </c>
      <c r="AO8" s="773">
        <f t="shared" si="0"/>
        <v>66550183</v>
      </c>
      <c r="AP8" s="773">
        <f t="shared" si="0"/>
        <v>47545186</v>
      </c>
      <c r="AQ8" s="773">
        <f t="shared" si="0"/>
        <v>2874831</v>
      </c>
      <c r="AR8" s="773">
        <f t="shared" si="0"/>
        <v>2764640</v>
      </c>
      <c r="AS8" s="773">
        <f t="shared" si="0"/>
        <v>2151468</v>
      </c>
      <c r="AT8" s="773">
        <f t="shared" si="0"/>
        <v>2381086</v>
      </c>
      <c r="AU8" s="773">
        <f t="shared" si="0"/>
        <v>12611640</v>
      </c>
      <c r="AV8" s="773">
        <f t="shared" si="0"/>
        <v>8140281</v>
      </c>
      <c r="AW8" s="1473">
        <f>SUM(AW5:AW7)</f>
        <v>865225407</v>
      </c>
      <c r="AX8" s="792">
        <f>SUM(AX5:AX7)</f>
        <v>638659603</v>
      </c>
    </row>
    <row r="9" spans="1:50" ht="17.25">
      <c r="A9" s="775" t="s">
        <v>336</v>
      </c>
      <c r="B9" s="780"/>
      <c r="C9" s="772"/>
      <c r="D9" s="1393"/>
      <c r="E9" s="774"/>
      <c r="F9" s="774"/>
      <c r="G9" s="783"/>
      <c r="H9" s="774"/>
      <c r="I9" s="774"/>
      <c r="J9" s="774"/>
      <c r="K9" s="774"/>
      <c r="L9" s="774"/>
      <c r="M9" s="786"/>
      <c r="N9" s="786"/>
      <c r="O9" s="774"/>
      <c r="P9" s="774"/>
      <c r="Q9" s="789"/>
      <c r="R9" s="789"/>
      <c r="S9" s="774"/>
      <c r="T9" s="774"/>
      <c r="U9" s="774"/>
      <c r="V9" s="774"/>
      <c r="W9" s="774"/>
      <c r="X9" s="774"/>
      <c r="Y9" s="774"/>
      <c r="Z9" s="774"/>
      <c r="AA9" s="791"/>
      <c r="AB9" s="791"/>
      <c r="AC9" s="774"/>
      <c r="AD9" s="774"/>
      <c r="AE9" s="793"/>
      <c r="AF9" s="793"/>
      <c r="AG9" s="774"/>
      <c r="AH9" s="774"/>
      <c r="AI9" s="774"/>
      <c r="AJ9" s="774"/>
      <c r="AK9" s="774"/>
      <c r="AL9" s="774"/>
      <c r="AM9" s="794"/>
      <c r="AN9" s="794"/>
      <c r="AO9" s="755"/>
      <c r="AP9" s="755"/>
      <c r="AQ9" s="798"/>
      <c r="AR9" s="798"/>
      <c r="AS9" s="792"/>
      <c r="AT9" s="792"/>
      <c r="AU9" s="774"/>
      <c r="AV9" s="774"/>
      <c r="AW9" s="783"/>
      <c r="AX9" s="774"/>
    </row>
    <row r="10" spans="1:50" ht="17.25">
      <c r="A10" s="687" t="s">
        <v>337</v>
      </c>
      <c r="B10" s="780"/>
      <c r="C10" s="771">
        <v>5764906</v>
      </c>
      <c r="D10" s="1392">
        <v>5201366</v>
      </c>
      <c r="E10" s="773">
        <v>324054</v>
      </c>
      <c r="F10" s="773">
        <v>274462</v>
      </c>
      <c r="G10" s="782">
        <v>1413855</v>
      </c>
      <c r="H10" s="773">
        <v>1338014</v>
      </c>
      <c r="I10" s="773">
        <v>6007294</v>
      </c>
      <c r="J10" s="773">
        <v>5744757</v>
      </c>
      <c r="K10" s="773">
        <v>955053</v>
      </c>
      <c r="L10" s="773">
        <v>708539</v>
      </c>
      <c r="M10" s="785">
        <v>1750622</v>
      </c>
      <c r="N10" s="785">
        <v>1481709</v>
      </c>
      <c r="O10" s="773">
        <v>678293</v>
      </c>
      <c r="P10" s="773">
        <v>527224</v>
      </c>
      <c r="Q10" s="788">
        <v>336413</v>
      </c>
      <c r="R10" s="788">
        <v>225310</v>
      </c>
      <c r="S10" s="773">
        <v>2236737</v>
      </c>
      <c r="T10" s="773">
        <v>1911214</v>
      </c>
      <c r="U10" s="773">
        <v>644819</v>
      </c>
      <c r="V10" s="773">
        <v>544877</v>
      </c>
      <c r="W10" s="773">
        <v>15961002</v>
      </c>
      <c r="X10" s="773">
        <v>13434280</v>
      </c>
      <c r="Y10" s="773">
        <v>14779264</v>
      </c>
      <c r="Z10" s="773">
        <v>12890144</v>
      </c>
      <c r="AA10" s="773">
        <v>1339318</v>
      </c>
      <c r="AB10" s="773">
        <v>1137959</v>
      </c>
      <c r="AC10" s="773">
        <v>1899254</v>
      </c>
      <c r="AD10" s="773">
        <v>1732242</v>
      </c>
      <c r="AE10" s="773">
        <v>4145822</v>
      </c>
      <c r="AF10" s="773">
        <v>3155354</v>
      </c>
      <c r="AG10" s="773">
        <v>8930313</v>
      </c>
      <c r="AH10" s="773">
        <v>7683304</v>
      </c>
      <c r="AI10" s="773">
        <v>3194297</v>
      </c>
      <c r="AJ10" s="773">
        <v>2705643</v>
      </c>
      <c r="AK10" s="773">
        <v>2847258</v>
      </c>
      <c r="AL10" s="773">
        <v>2505120</v>
      </c>
      <c r="AM10" s="794"/>
      <c r="AN10" s="794"/>
      <c r="AO10" s="795">
        <v>20347573</v>
      </c>
      <c r="AP10" s="795">
        <v>17401960</v>
      </c>
      <c r="AQ10" s="798">
        <v>623136</v>
      </c>
      <c r="AR10" s="798">
        <v>499578</v>
      </c>
      <c r="AS10" s="792">
        <v>1318076</v>
      </c>
      <c r="AT10" s="792">
        <v>1085502</v>
      </c>
      <c r="AU10" s="774">
        <v>3541226</v>
      </c>
      <c r="AV10" s="774">
        <v>2850256</v>
      </c>
      <c r="AW10" s="1473">
        <v>517241688</v>
      </c>
      <c r="AX10" s="792">
        <v>467025941</v>
      </c>
    </row>
    <row r="11" spans="1:50" ht="16.5">
      <c r="A11" s="687" t="s">
        <v>338</v>
      </c>
      <c r="B11" s="780"/>
      <c r="C11" s="771">
        <v>3060256</v>
      </c>
      <c r="D11" s="1392">
        <v>3367237</v>
      </c>
      <c r="E11" s="773">
        <v>236355</v>
      </c>
      <c r="F11" s="773">
        <v>298474</v>
      </c>
      <c r="G11" s="782">
        <v>929597</v>
      </c>
      <c r="H11" s="773">
        <v>1141006</v>
      </c>
      <c r="I11" s="773">
        <v>4894952</v>
      </c>
      <c r="J11" s="773">
        <v>5890500</v>
      </c>
      <c r="K11" s="773">
        <v>569641</v>
      </c>
      <c r="L11" s="773">
        <v>415775</v>
      </c>
      <c r="M11" s="785">
        <v>1891796</v>
      </c>
      <c r="N11" s="785">
        <v>1836146</v>
      </c>
      <c r="O11" s="773">
        <v>290107</v>
      </c>
      <c r="P11" s="773">
        <v>30659</v>
      </c>
      <c r="Q11" s="788">
        <v>333477</v>
      </c>
      <c r="R11" s="788">
        <v>121300</v>
      </c>
      <c r="S11" s="773">
        <v>594764</v>
      </c>
      <c r="T11" s="773">
        <v>586620</v>
      </c>
      <c r="U11" s="773">
        <v>121305</v>
      </c>
      <c r="V11" s="773">
        <v>105107</v>
      </c>
      <c r="W11" s="773">
        <v>11358547</v>
      </c>
      <c r="X11" s="773">
        <v>9516371</v>
      </c>
      <c r="Y11" s="773">
        <v>16113780</v>
      </c>
      <c r="Z11" s="773">
        <v>20693503</v>
      </c>
      <c r="AA11" s="773">
        <v>783184</v>
      </c>
      <c r="AB11" s="773">
        <v>338068</v>
      </c>
      <c r="AC11" s="773">
        <v>608337</v>
      </c>
      <c r="AD11" s="773">
        <v>1100813</v>
      </c>
      <c r="AE11" s="773">
        <v>3919763</v>
      </c>
      <c r="AF11" s="773">
        <v>3496607</v>
      </c>
      <c r="AG11" s="773">
        <v>5592105</v>
      </c>
      <c r="AH11" s="773">
        <v>4862509</v>
      </c>
      <c r="AI11" s="773">
        <v>1921657</v>
      </c>
      <c r="AJ11" s="773">
        <v>1133545</v>
      </c>
      <c r="AK11" s="773">
        <v>2582951</v>
      </c>
      <c r="AL11" s="773">
        <v>1957784</v>
      </c>
      <c r="AM11" s="794"/>
      <c r="AN11" s="794"/>
      <c r="AO11" s="795">
        <v>13508742</v>
      </c>
      <c r="AP11" s="795">
        <v>6963807</v>
      </c>
      <c r="AQ11" s="798">
        <v>114873</v>
      </c>
      <c r="AR11" s="798">
        <v>829133</v>
      </c>
      <c r="AS11" s="792">
        <v>1331829</v>
      </c>
      <c r="AT11" s="792">
        <v>589869</v>
      </c>
      <c r="AU11" s="773">
        <v>1752161</v>
      </c>
      <c r="AV11" s="773">
        <v>2104218</v>
      </c>
      <c r="AW11" s="1473">
        <v>78468137</v>
      </c>
      <c r="AX11" s="792">
        <v>45945787</v>
      </c>
    </row>
    <row r="12" spans="1:50" ht="16.5">
      <c r="A12" s="687" t="s">
        <v>339</v>
      </c>
      <c r="B12" s="780"/>
      <c r="C12" s="771">
        <v>-649919</v>
      </c>
      <c r="D12" s="1392">
        <v>-1806816</v>
      </c>
      <c r="E12" s="773">
        <v>-52934</v>
      </c>
      <c r="F12" s="773">
        <v>-97390</v>
      </c>
      <c r="G12" s="782">
        <v>-243403</v>
      </c>
      <c r="H12" s="773">
        <v>-444144</v>
      </c>
      <c r="I12" s="773">
        <v>-1367038</v>
      </c>
      <c r="J12" s="773">
        <v>-1979238</v>
      </c>
      <c r="K12" s="773">
        <v>-96024</v>
      </c>
      <c r="L12" s="773">
        <v>-61842</v>
      </c>
      <c r="M12" s="785">
        <v>-632306</v>
      </c>
      <c r="N12" s="785">
        <v>-591225</v>
      </c>
      <c r="O12" s="773">
        <v>-20401</v>
      </c>
      <c r="P12" s="773">
        <v>-1577</v>
      </c>
      <c r="Q12" s="788">
        <v>-78661</v>
      </c>
      <c r="R12" s="788">
        <v>-163514</v>
      </c>
      <c r="S12" s="773">
        <v>-195987</v>
      </c>
      <c r="T12" s="773">
        <v>-440365</v>
      </c>
      <c r="U12" s="773">
        <v>-38680</v>
      </c>
      <c r="V12" s="773">
        <v>-75306</v>
      </c>
      <c r="W12" s="773">
        <v>-1760985</v>
      </c>
      <c r="X12" s="773">
        <v>-1789449</v>
      </c>
      <c r="Y12" s="773">
        <v>-6560593</v>
      </c>
      <c r="Z12" s="773">
        <v>-6610363</v>
      </c>
      <c r="AA12" s="773">
        <v>-293759</v>
      </c>
      <c r="AB12" s="773">
        <v>-400132</v>
      </c>
      <c r="AC12" s="773">
        <v>-430650</v>
      </c>
      <c r="AD12" s="773">
        <v>-416258</v>
      </c>
      <c r="AE12" s="773">
        <v>-775202</v>
      </c>
      <c r="AF12" s="773">
        <v>-1312592</v>
      </c>
      <c r="AG12" s="773">
        <v>-1219495</v>
      </c>
      <c r="AH12" s="773">
        <v>-2513179</v>
      </c>
      <c r="AI12" s="773">
        <v>-259020</v>
      </c>
      <c r="AJ12" s="773">
        <v>-329323</v>
      </c>
      <c r="AK12" s="773">
        <v>-447369</v>
      </c>
      <c r="AL12" s="773">
        <v>-652165</v>
      </c>
      <c r="AM12" s="794"/>
      <c r="AN12" s="794"/>
      <c r="AO12" s="795">
        <v>-4779282</v>
      </c>
      <c r="AP12" s="795">
        <v>-3428087</v>
      </c>
      <c r="AQ12" s="798">
        <v>-340526</v>
      </c>
      <c r="AR12" s="798">
        <v>-173172</v>
      </c>
      <c r="AS12" s="792">
        <v>-132978</v>
      </c>
      <c r="AT12" s="792">
        <v>-339495</v>
      </c>
      <c r="AU12" s="773">
        <v>-374787</v>
      </c>
      <c r="AV12" s="773">
        <v>-592908</v>
      </c>
      <c r="AW12" s="1473">
        <v>-74608927</v>
      </c>
      <c r="AX12" s="792">
        <v>-5186348</v>
      </c>
    </row>
    <row r="13" spans="1:50" ht="16.5">
      <c r="A13" s="687" t="s">
        <v>340</v>
      </c>
      <c r="B13" s="780"/>
      <c r="C13" s="771">
        <v>549894</v>
      </c>
      <c r="D13" s="1392">
        <v>-1174718</v>
      </c>
      <c r="E13" s="773">
        <v>-89221</v>
      </c>
      <c r="F13" s="773">
        <v>25478</v>
      </c>
      <c r="G13" s="782">
        <v>-557358</v>
      </c>
      <c r="H13" s="773">
        <v>-111097</v>
      </c>
      <c r="I13" s="773">
        <v>-3577284</v>
      </c>
      <c r="J13" s="773">
        <v>1687989</v>
      </c>
      <c r="K13" s="773">
        <v>-125157</v>
      </c>
      <c r="L13" s="773">
        <v>97646</v>
      </c>
      <c r="M13" s="785">
        <v>-210874</v>
      </c>
      <c r="N13" s="785">
        <v>359312</v>
      </c>
      <c r="O13" s="773">
        <v>22760</v>
      </c>
      <c r="P13" s="773">
        <v>41066</v>
      </c>
      <c r="Q13" s="788">
        <v>-23693</v>
      </c>
      <c r="R13" s="788">
        <v>24752</v>
      </c>
      <c r="S13" s="773">
        <v>6040</v>
      </c>
      <c r="T13" s="773">
        <v>73330</v>
      </c>
      <c r="U13" s="773">
        <v>-34957</v>
      </c>
      <c r="V13" s="773">
        <v>5991</v>
      </c>
      <c r="W13" s="773">
        <v>-5041801</v>
      </c>
      <c r="X13" s="773">
        <v>-3042171</v>
      </c>
      <c r="Y13" s="773">
        <v>-6462173</v>
      </c>
      <c r="Z13" s="773">
        <v>-5260362</v>
      </c>
      <c r="AA13" s="773">
        <v>-468335</v>
      </c>
      <c r="AB13" s="773">
        <v>73890</v>
      </c>
      <c r="AC13" s="773">
        <v>174506</v>
      </c>
      <c r="AD13" s="773">
        <v>-274585</v>
      </c>
      <c r="AE13" s="773">
        <v>-633664</v>
      </c>
      <c r="AF13" s="773">
        <v>-1692684</v>
      </c>
      <c r="AG13" s="773">
        <v>-602973</v>
      </c>
      <c r="AH13" s="773">
        <v>2044121</v>
      </c>
      <c r="AI13" s="773">
        <v>-933578</v>
      </c>
      <c r="AJ13" s="773">
        <v>769131</v>
      </c>
      <c r="AK13" s="773">
        <v>-979525</v>
      </c>
      <c r="AL13" s="773">
        <v>401220</v>
      </c>
      <c r="AM13" s="794"/>
      <c r="AN13" s="794"/>
      <c r="AO13" s="795">
        <v>-370947</v>
      </c>
      <c r="AP13" s="795">
        <v>-583280</v>
      </c>
      <c r="AQ13" s="798"/>
      <c r="AR13" s="798"/>
      <c r="AS13" s="792"/>
      <c r="AT13" s="792"/>
      <c r="AU13" s="773">
        <v>2135734</v>
      </c>
      <c r="AV13" s="773">
        <v>-503845</v>
      </c>
      <c r="AW13" s="1473">
        <v>62511564</v>
      </c>
      <c r="AX13" s="792">
        <v>-8596921</v>
      </c>
    </row>
    <row r="14" spans="1:50" ht="17.25">
      <c r="A14" s="687" t="s">
        <v>341</v>
      </c>
      <c r="B14" s="780"/>
      <c r="C14" s="772"/>
      <c r="D14" s="1393"/>
      <c r="E14" s="774">
        <v>35341</v>
      </c>
      <c r="F14" s="774">
        <v>24150</v>
      </c>
      <c r="G14" s="783"/>
      <c r="H14" s="774"/>
      <c r="I14" s="774">
        <v>720650</v>
      </c>
      <c r="J14" s="774">
        <v>496003</v>
      </c>
      <c r="K14" s="774"/>
      <c r="L14" s="774"/>
      <c r="M14" s="786"/>
      <c r="N14" s="786"/>
      <c r="O14" s="774">
        <v>-11864</v>
      </c>
      <c r="P14" s="774">
        <v>-14350</v>
      </c>
      <c r="Q14" s="789">
        <v>15024</v>
      </c>
      <c r="R14" s="789">
        <v>12210</v>
      </c>
      <c r="S14" s="774"/>
      <c r="T14" s="774"/>
      <c r="U14" s="774"/>
      <c r="V14" s="774"/>
      <c r="W14" s="774">
        <v>-3004</v>
      </c>
      <c r="X14" s="774">
        <v>-151611</v>
      </c>
      <c r="Y14" s="774">
        <v>2045207</v>
      </c>
      <c r="Z14" s="774">
        <v>1499059</v>
      </c>
      <c r="AA14" s="791">
        <v>73063</v>
      </c>
      <c r="AB14" s="791">
        <v>32931</v>
      </c>
      <c r="AC14" s="774">
        <v>315606</v>
      </c>
      <c r="AD14" s="774">
        <v>191993</v>
      </c>
      <c r="AE14" s="793"/>
      <c r="AF14" s="793"/>
      <c r="AG14" s="774">
        <v>121242</v>
      </c>
      <c r="AH14" s="774">
        <v>107462</v>
      </c>
      <c r="AI14" s="774"/>
      <c r="AJ14" s="774"/>
      <c r="AK14" s="774">
        <v>268484</v>
      </c>
      <c r="AL14" s="774">
        <v>346448</v>
      </c>
      <c r="AM14" s="794"/>
      <c r="AN14" s="794"/>
      <c r="AO14" s="795">
        <v>1066582</v>
      </c>
      <c r="AP14" s="795">
        <v>598437</v>
      </c>
      <c r="AQ14" s="798">
        <v>-843</v>
      </c>
      <c r="AR14" s="798">
        <v>-2227</v>
      </c>
      <c r="AS14" s="792"/>
      <c r="AT14" s="792"/>
      <c r="AU14" s="774"/>
      <c r="AV14" s="774"/>
      <c r="AW14" s="783"/>
      <c r="AX14" s="774"/>
    </row>
    <row r="15" spans="1:50" ht="17.25">
      <c r="A15" s="687" t="s">
        <v>409</v>
      </c>
      <c r="B15" s="780"/>
      <c r="C15" s="772"/>
      <c r="D15" s="1393"/>
      <c r="E15" s="774"/>
      <c r="F15" s="774"/>
      <c r="G15" s="783"/>
      <c r="H15" s="774"/>
      <c r="I15" s="774"/>
      <c r="J15" s="774"/>
      <c r="K15" s="774"/>
      <c r="L15" s="774"/>
      <c r="M15" s="786"/>
      <c r="N15" s="786"/>
      <c r="O15" s="774"/>
      <c r="P15" s="774"/>
      <c r="Q15" s="789"/>
      <c r="R15" s="789"/>
      <c r="S15" s="774"/>
      <c r="T15" s="774"/>
      <c r="U15" s="774"/>
      <c r="V15" s="774"/>
      <c r="W15" s="774"/>
      <c r="X15" s="774"/>
      <c r="Y15" s="774"/>
      <c r="Z15" s="774"/>
      <c r="AA15" s="791"/>
      <c r="AB15" s="791"/>
      <c r="AC15" s="774"/>
      <c r="AD15" s="774"/>
      <c r="AE15" s="793"/>
      <c r="AF15" s="793"/>
      <c r="AG15" s="774"/>
      <c r="AH15" s="774"/>
      <c r="AI15" s="774"/>
      <c r="AJ15" s="774"/>
      <c r="AK15" s="774"/>
      <c r="AL15" s="774"/>
      <c r="AM15" s="794"/>
      <c r="AN15" s="794"/>
      <c r="AO15" s="795"/>
      <c r="AP15" s="795"/>
      <c r="AQ15" s="798">
        <v>-23332</v>
      </c>
      <c r="AR15" s="798">
        <v>-545253</v>
      </c>
      <c r="AS15" s="792">
        <v>-581773</v>
      </c>
      <c r="AT15" s="792">
        <v>-312712</v>
      </c>
      <c r="AU15" s="774"/>
      <c r="AV15" s="774"/>
      <c r="AW15" s="783"/>
      <c r="AX15" s="774"/>
    </row>
    <row r="16" spans="1:50" ht="16.5">
      <c r="A16" s="775" t="s">
        <v>342</v>
      </c>
      <c r="B16" s="780"/>
      <c r="C16" s="771"/>
      <c r="D16" s="1392"/>
      <c r="E16" s="773"/>
      <c r="F16" s="773"/>
      <c r="G16" s="782"/>
      <c r="H16" s="773"/>
      <c r="I16" s="773"/>
      <c r="J16" s="773"/>
      <c r="K16" s="773"/>
      <c r="L16" s="773"/>
      <c r="M16" s="785"/>
      <c r="N16" s="785"/>
      <c r="O16" s="773"/>
      <c r="P16" s="773"/>
      <c r="Q16" s="788"/>
      <c r="R16" s="788"/>
      <c r="S16" s="773"/>
      <c r="T16" s="773"/>
      <c r="U16" s="773"/>
      <c r="V16" s="773"/>
      <c r="W16" s="773"/>
      <c r="X16" s="773"/>
      <c r="Y16" s="773"/>
      <c r="Z16" s="773"/>
      <c r="AA16" s="791"/>
      <c r="AB16" s="791"/>
      <c r="AC16" s="773"/>
      <c r="AD16" s="773"/>
      <c r="AE16" s="773"/>
      <c r="AF16" s="773"/>
      <c r="AG16" s="773"/>
      <c r="AH16" s="773"/>
      <c r="AI16" s="773"/>
      <c r="AJ16" s="773"/>
      <c r="AK16" s="773"/>
      <c r="AL16" s="773"/>
      <c r="AM16" s="794"/>
      <c r="AN16" s="794"/>
      <c r="AO16" s="755"/>
      <c r="AP16" s="755"/>
      <c r="AQ16" s="798"/>
      <c r="AR16" s="798"/>
      <c r="AS16" s="792"/>
      <c r="AT16" s="792"/>
      <c r="AU16" s="773"/>
      <c r="AV16" s="773"/>
      <c r="AW16" s="782"/>
      <c r="AX16" s="773"/>
    </row>
    <row r="17" spans="1:50" ht="16.5">
      <c r="A17" s="687" t="s">
        <v>343</v>
      </c>
      <c r="B17" s="780"/>
      <c r="C17" s="771">
        <v>643403</v>
      </c>
      <c r="D17" s="1392">
        <v>673674</v>
      </c>
      <c r="E17" s="773"/>
      <c r="F17" s="773"/>
      <c r="G17" s="782">
        <f>104935+3063</f>
        <v>107998</v>
      </c>
      <c r="H17" s="773">
        <f>4175+136382</f>
        <v>140557</v>
      </c>
      <c r="I17" s="773">
        <v>352830</v>
      </c>
      <c r="J17" s="773">
        <v>102629</v>
      </c>
      <c r="K17" s="773"/>
      <c r="L17" s="773"/>
      <c r="M17" s="785">
        <v>6075</v>
      </c>
      <c r="N17" s="785">
        <v>4653</v>
      </c>
      <c r="O17" s="773">
        <v>52068</v>
      </c>
      <c r="P17" s="773">
        <v>28813</v>
      </c>
      <c r="Q17" s="788">
        <v>145350</v>
      </c>
      <c r="R17" s="788">
        <v>251725</v>
      </c>
      <c r="S17" s="773">
        <v>785478</v>
      </c>
      <c r="T17" s="773">
        <v>428451</v>
      </c>
      <c r="U17" s="773">
        <v>602937</v>
      </c>
      <c r="V17" s="773">
        <v>614653</v>
      </c>
      <c r="W17" s="773">
        <v>93629</v>
      </c>
      <c r="X17" s="773">
        <v>135229</v>
      </c>
      <c r="Y17" s="773">
        <v>2159230</v>
      </c>
      <c r="Z17" s="773">
        <v>924963</v>
      </c>
      <c r="AA17" s="791"/>
      <c r="AB17" s="791"/>
      <c r="AC17" s="773">
        <v>278711</v>
      </c>
      <c r="AD17" s="773">
        <v>226306</v>
      </c>
      <c r="AE17" s="773"/>
      <c r="AF17" s="773">
        <v>4974</v>
      </c>
      <c r="AG17" s="773">
        <v>261282</v>
      </c>
      <c r="AH17" s="773">
        <v>808</v>
      </c>
      <c r="AI17" s="773">
        <v>32934</v>
      </c>
      <c r="AJ17" s="773">
        <v>216202</v>
      </c>
      <c r="AK17" s="773">
        <v>87716</v>
      </c>
      <c r="AL17" s="773">
        <v>349309</v>
      </c>
      <c r="AM17" s="794"/>
      <c r="AN17" s="794"/>
      <c r="AO17" s="755"/>
      <c r="AP17" s="755"/>
      <c r="AQ17" s="798">
        <v>323</v>
      </c>
      <c r="AR17" s="798"/>
      <c r="AS17" s="792"/>
      <c r="AT17" s="792"/>
      <c r="AU17" s="773">
        <v>834881</v>
      </c>
      <c r="AV17" s="773">
        <v>1001210</v>
      </c>
      <c r="AW17" s="782">
        <f>16033+9296442</f>
        <v>9312475</v>
      </c>
      <c r="AX17" s="773">
        <f>-22663+938993</f>
        <v>916330</v>
      </c>
    </row>
    <row r="18" spans="1:50" ht="16.5">
      <c r="A18" s="687" t="s">
        <v>344</v>
      </c>
      <c r="B18" s="780"/>
      <c r="C18" s="771"/>
      <c r="D18" s="1392"/>
      <c r="E18" s="773"/>
      <c r="F18" s="773"/>
      <c r="G18" s="782"/>
      <c r="H18" s="773"/>
      <c r="I18" s="773">
        <v>42178</v>
      </c>
      <c r="J18" s="773">
        <v>103159</v>
      </c>
      <c r="K18" s="773"/>
      <c r="L18" s="773"/>
      <c r="M18" s="785"/>
      <c r="N18" s="785"/>
      <c r="O18" s="773"/>
      <c r="P18" s="773"/>
      <c r="Q18" s="788">
        <v>368</v>
      </c>
      <c r="R18" s="788">
        <v>234</v>
      </c>
      <c r="S18" s="773">
        <v>11166</v>
      </c>
      <c r="T18" s="773">
        <v>17121</v>
      </c>
      <c r="U18" s="773"/>
      <c r="V18" s="773"/>
      <c r="W18" s="773">
        <v>228641</v>
      </c>
      <c r="X18" s="773">
        <v>101337</v>
      </c>
      <c r="Y18" s="773">
        <v>80587</v>
      </c>
      <c r="Z18" s="773">
        <v>136196</v>
      </c>
      <c r="AA18" s="791"/>
      <c r="AB18" s="791"/>
      <c r="AC18" s="773"/>
      <c r="AD18" s="773"/>
      <c r="AE18" s="773">
        <v>4101</v>
      </c>
      <c r="AF18" s="773">
        <v>5438</v>
      </c>
      <c r="AG18" s="773"/>
      <c r="AH18" s="773"/>
      <c r="AI18" s="773"/>
      <c r="AJ18" s="773"/>
      <c r="AK18" s="773"/>
      <c r="AL18" s="773"/>
      <c r="AM18" s="794"/>
      <c r="AN18" s="794"/>
      <c r="AO18" s="795">
        <v>54219</v>
      </c>
      <c r="AP18" s="795">
        <v>106464</v>
      </c>
      <c r="AQ18" s="798"/>
      <c r="AR18" s="798"/>
      <c r="AS18" s="792"/>
      <c r="AT18" s="792"/>
      <c r="AU18" s="773"/>
      <c r="AV18" s="773"/>
      <c r="AW18" s="782"/>
      <c r="AX18" s="773"/>
    </row>
    <row r="19" spans="1:50" ht="16.5">
      <c r="A19" s="687" t="s">
        <v>345</v>
      </c>
      <c r="B19" s="780"/>
      <c r="C19" s="771">
        <v>123443</v>
      </c>
      <c r="D19" s="1392">
        <v>115263</v>
      </c>
      <c r="E19" s="773">
        <f>177+90</f>
        <v>267</v>
      </c>
      <c r="F19" s="773">
        <v>131</v>
      </c>
      <c r="G19" s="782">
        <v>7568</v>
      </c>
      <c r="H19" s="773">
        <v>11045</v>
      </c>
      <c r="I19" s="773">
        <v>111715</v>
      </c>
      <c r="J19" s="773">
        <v>103190</v>
      </c>
      <c r="K19" s="773">
        <f>4547+324</f>
        <v>4871</v>
      </c>
      <c r="L19" s="773">
        <f>5521+1991</f>
        <v>7512</v>
      </c>
      <c r="M19" s="785">
        <v>18865</v>
      </c>
      <c r="N19" s="785">
        <v>18711</v>
      </c>
      <c r="O19" s="773">
        <v>4397</v>
      </c>
      <c r="P19" s="773">
        <v>1495</v>
      </c>
      <c r="Q19" s="788">
        <v>1573</v>
      </c>
      <c r="R19" s="788">
        <v>2741</v>
      </c>
      <c r="S19" s="773"/>
      <c r="T19" s="773"/>
      <c r="U19" s="773">
        <f>5689-324</f>
        <v>5365</v>
      </c>
      <c r="V19" s="773">
        <f>4681+95</f>
        <v>4776</v>
      </c>
      <c r="W19" s="773"/>
      <c r="X19" s="773">
        <v>357863</v>
      </c>
      <c r="Y19" s="773">
        <f>79672+4586</f>
        <v>84258</v>
      </c>
      <c r="Z19" s="773">
        <f>56032+4497</f>
        <v>60529</v>
      </c>
      <c r="AA19" s="791">
        <v>812</v>
      </c>
      <c r="AB19" s="791">
        <v>7503</v>
      </c>
      <c r="AC19" s="773">
        <v>4827</v>
      </c>
      <c r="AD19" s="773">
        <v>2466</v>
      </c>
      <c r="AE19" s="773">
        <f>1811+480</f>
        <v>2291</v>
      </c>
      <c r="AF19" s="773">
        <f>892+587</f>
        <v>1479</v>
      </c>
      <c r="AG19" s="773">
        <v>100167</v>
      </c>
      <c r="AH19" s="773">
        <v>74937</v>
      </c>
      <c r="AI19" s="773">
        <f>14058+42128+118</f>
        <v>56304</v>
      </c>
      <c r="AJ19" s="773">
        <f>14011+35573-771</f>
        <v>48813</v>
      </c>
      <c r="AK19" s="773">
        <v>38597</v>
      </c>
      <c r="AL19" s="773">
        <v>45353</v>
      </c>
      <c r="AM19" s="794"/>
      <c r="AN19" s="794"/>
      <c r="AO19" s="795">
        <v>57993</v>
      </c>
      <c r="AP19" s="795">
        <v>50698</v>
      </c>
      <c r="AQ19" s="798">
        <v>18330</v>
      </c>
      <c r="AR19" s="798">
        <v>5032</v>
      </c>
      <c r="AS19" s="792">
        <v>9649</v>
      </c>
      <c r="AT19" s="792">
        <v>11512</v>
      </c>
      <c r="AU19" s="773">
        <f>9250+83592+467-202+94087</f>
        <v>187194</v>
      </c>
      <c r="AV19" s="773">
        <f>6591+74923-743+1232+74128</f>
        <v>156131</v>
      </c>
      <c r="AW19" s="782"/>
      <c r="AX19" s="773"/>
    </row>
    <row r="20" spans="1:50" ht="17.25">
      <c r="A20" s="775" t="s">
        <v>335</v>
      </c>
      <c r="B20" s="780"/>
      <c r="C20" s="772"/>
      <c r="D20" s="1393"/>
      <c r="E20" s="774"/>
      <c r="F20" s="774"/>
      <c r="G20" s="783"/>
      <c r="H20" s="774"/>
      <c r="I20" s="774"/>
      <c r="J20" s="774"/>
      <c r="K20" s="774"/>
      <c r="L20" s="774"/>
      <c r="M20" s="786"/>
      <c r="N20" s="786"/>
      <c r="O20" s="774"/>
      <c r="P20" s="774"/>
      <c r="Q20" s="789"/>
      <c r="R20" s="789"/>
      <c r="S20" s="774"/>
      <c r="T20" s="774"/>
      <c r="U20" s="774"/>
      <c r="V20" s="774"/>
      <c r="W20" s="774"/>
      <c r="X20" s="774"/>
      <c r="Y20" s="774"/>
      <c r="Z20" s="774"/>
      <c r="AA20" s="791"/>
      <c r="AB20" s="791"/>
      <c r="AC20" s="774"/>
      <c r="AD20" s="774"/>
      <c r="AE20" s="793"/>
      <c r="AF20" s="793"/>
      <c r="AG20" s="774"/>
      <c r="AH20" s="774"/>
      <c r="AI20" s="774"/>
      <c r="AJ20" s="774"/>
      <c r="AK20" s="774"/>
      <c r="AL20" s="774"/>
      <c r="AM20" s="794"/>
      <c r="AN20" s="794"/>
      <c r="AO20" s="796"/>
      <c r="AP20" s="796"/>
      <c r="AQ20" s="798"/>
      <c r="AR20" s="798"/>
      <c r="AS20" s="792"/>
      <c r="AT20" s="792"/>
      <c r="AU20" s="774"/>
      <c r="AV20" s="774"/>
      <c r="AW20" s="783"/>
      <c r="AX20" s="774"/>
    </row>
    <row r="21" spans="1:50" s="1703" customFormat="1" ht="18">
      <c r="A21" s="1691" t="s">
        <v>20</v>
      </c>
      <c r="B21" s="1692"/>
      <c r="C21" s="1693">
        <v>21487299</v>
      </c>
      <c r="D21" s="1694">
        <v>18536592</v>
      </c>
      <c r="E21" s="1695">
        <v>1365175</v>
      </c>
      <c r="F21" s="1695">
        <v>1301714</v>
      </c>
      <c r="G21" s="1696">
        <v>3713370</v>
      </c>
      <c r="H21" s="1695">
        <v>4140632</v>
      </c>
      <c r="I21" s="1695">
        <v>25390316</v>
      </c>
      <c r="J21" s="1695">
        <v>25666292</v>
      </c>
      <c r="K21" s="1695">
        <v>5382630</v>
      </c>
      <c r="L21" s="1695">
        <v>4757533</v>
      </c>
      <c r="M21" s="1697">
        <v>11044526</v>
      </c>
      <c r="N21" s="1697">
        <v>9578864</v>
      </c>
      <c r="O21" s="1695">
        <v>3734324</v>
      </c>
      <c r="P21" s="1695">
        <v>5184574</v>
      </c>
      <c r="Q21" s="1698">
        <v>2270555</v>
      </c>
      <c r="R21" s="1698">
        <v>1669621</v>
      </c>
      <c r="S21" s="1695">
        <v>8862938</v>
      </c>
      <c r="T21" s="1695">
        <v>7306892</v>
      </c>
      <c r="U21" s="1695">
        <v>3538767</v>
      </c>
      <c r="V21" s="1695">
        <v>2703081</v>
      </c>
      <c r="W21" s="1695">
        <v>85347646</v>
      </c>
      <c r="X21" s="1695">
        <v>68574692</v>
      </c>
      <c r="Y21" s="1695">
        <v>84320908</v>
      </c>
      <c r="Z21" s="1695">
        <v>78711908</v>
      </c>
      <c r="AA21" s="1716">
        <v>4387225</v>
      </c>
      <c r="AB21" s="1716">
        <v>4073307</v>
      </c>
      <c r="AC21" s="1695">
        <v>9801838</v>
      </c>
      <c r="AD21" s="1695">
        <v>7631696</v>
      </c>
      <c r="AE21" s="1695">
        <v>22750306</v>
      </c>
      <c r="AF21" s="1695">
        <v>15252203</v>
      </c>
      <c r="AG21" s="1695">
        <v>39181804</v>
      </c>
      <c r="AH21" s="1695">
        <v>35069432</v>
      </c>
      <c r="AI21" s="1695">
        <v>12930096</v>
      </c>
      <c r="AJ21" s="1695">
        <v>12030638</v>
      </c>
      <c r="AK21" s="1695">
        <v>12740677</v>
      </c>
      <c r="AL21" s="1695">
        <v>12499810</v>
      </c>
      <c r="AM21" s="1700"/>
      <c r="AN21" s="1700"/>
      <c r="AO21" s="1701">
        <v>96435062</v>
      </c>
      <c r="AP21" s="1701">
        <v>68655184</v>
      </c>
      <c r="AQ21" s="1702">
        <v>3266793</v>
      </c>
      <c r="AR21" s="1702">
        <v>3377730</v>
      </c>
      <c r="AS21" s="1699">
        <v>4996271</v>
      </c>
      <c r="AT21" s="1699">
        <v>4041186</v>
      </c>
      <c r="AU21" s="1695">
        <v>20688049</v>
      </c>
      <c r="AV21" s="1695">
        <v>13155343</v>
      </c>
      <c r="AW21" s="1717">
        <v>1458118281</v>
      </c>
      <c r="AX21" s="1718">
        <v>1138764392</v>
      </c>
    </row>
    <row r="22" spans="1:50" ht="16.5">
      <c r="A22" s="687" t="s">
        <v>60</v>
      </c>
      <c r="B22" s="775" t="s">
        <v>346</v>
      </c>
      <c r="C22" s="771">
        <v>793235</v>
      </c>
      <c r="D22" s="1392">
        <v>587250</v>
      </c>
      <c r="E22" s="773">
        <v>8551</v>
      </c>
      <c r="F22" s="773">
        <v>6474</v>
      </c>
      <c r="G22" s="782">
        <v>35960</v>
      </c>
      <c r="H22" s="773">
        <v>56598</v>
      </c>
      <c r="I22" s="773">
        <v>567718</v>
      </c>
      <c r="J22" s="773">
        <v>466083</v>
      </c>
      <c r="K22" s="773">
        <v>358080</v>
      </c>
      <c r="L22" s="773">
        <v>295397</v>
      </c>
      <c r="M22" s="785">
        <v>316372</v>
      </c>
      <c r="N22" s="785">
        <v>227859</v>
      </c>
      <c r="O22" s="773">
        <v>90936</v>
      </c>
      <c r="P22" s="773">
        <v>247078</v>
      </c>
      <c r="Q22" s="788">
        <v>96973</v>
      </c>
      <c r="R22" s="788">
        <v>63790</v>
      </c>
      <c r="S22" s="773">
        <v>317521</v>
      </c>
      <c r="T22" s="773">
        <v>354510</v>
      </c>
      <c r="U22" s="773">
        <v>71677</v>
      </c>
      <c r="V22" s="773">
        <v>65491</v>
      </c>
      <c r="W22" s="773">
        <v>3222273</v>
      </c>
      <c r="X22" s="773">
        <v>1981900</v>
      </c>
      <c r="Y22" s="773">
        <v>2648383</v>
      </c>
      <c r="Z22" s="773">
        <v>2795655</v>
      </c>
      <c r="AA22" s="791">
        <v>137060</v>
      </c>
      <c r="AB22" s="791">
        <v>148250</v>
      </c>
      <c r="AC22" s="773">
        <v>223772</v>
      </c>
      <c r="AD22" s="773">
        <v>183844</v>
      </c>
      <c r="AE22" s="773">
        <v>641989</v>
      </c>
      <c r="AF22" s="773">
        <v>521314</v>
      </c>
      <c r="AG22" s="773">
        <v>1583950</v>
      </c>
      <c r="AH22" s="773">
        <v>1450868</v>
      </c>
      <c r="AI22" s="773">
        <v>487029</v>
      </c>
      <c r="AJ22" s="773">
        <v>391531</v>
      </c>
      <c r="AK22" s="773">
        <v>376511</v>
      </c>
      <c r="AL22" s="773">
        <v>317931</v>
      </c>
      <c r="AM22" s="794"/>
      <c r="AN22" s="794"/>
      <c r="AO22" s="795">
        <v>2493721</v>
      </c>
      <c r="AP22" s="795">
        <v>1958922</v>
      </c>
      <c r="AQ22" s="798">
        <v>166127</v>
      </c>
      <c r="AR22" s="798">
        <v>171410</v>
      </c>
      <c r="AS22" s="792">
        <v>272117</v>
      </c>
      <c r="AT22" s="792">
        <v>165892</v>
      </c>
      <c r="AU22" s="773">
        <v>1235223</v>
      </c>
      <c r="AV22" s="773">
        <v>672612</v>
      </c>
      <c r="AW22" s="1473">
        <v>38635272</v>
      </c>
      <c r="AX22" s="792">
        <v>37011922</v>
      </c>
    </row>
    <row r="23" spans="1:50" ht="16.5">
      <c r="A23" s="687" t="s">
        <v>347</v>
      </c>
      <c r="B23" s="775" t="s">
        <v>348</v>
      </c>
      <c r="C23" s="771">
        <v>2913487</v>
      </c>
      <c r="D23" s="1392">
        <v>2508284</v>
      </c>
      <c r="E23" s="773">
        <v>321614</v>
      </c>
      <c r="F23" s="773">
        <v>286609</v>
      </c>
      <c r="G23" s="782">
        <v>723058</v>
      </c>
      <c r="H23" s="773">
        <v>885332</v>
      </c>
      <c r="I23" s="773">
        <v>4346795</v>
      </c>
      <c r="J23" s="773">
        <v>3194310</v>
      </c>
      <c r="K23" s="773">
        <v>1933434</v>
      </c>
      <c r="L23" s="773">
        <v>1553771</v>
      </c>
      <c r="M23" s="785">
        <v>1079211</v>
      </c>
      <c r="N23" s="785">
        <v>967469</v>
      </c>
      <c r="O23" s="773">
        <v>835782</v>
      </c>
      <c r="P23" s="773">
        <v>1775574</v>
      </c>
      <c r="Q23" s="788">
        <v>477523</v>
      </c>
      <c r="R23" s="788">
        <v>450713</v>
      </c>
      <c r="S23" s="773">
        <v>1786964</v>
      </c>
      <c r="T23" s="773">
        <v>1739557</v>
      </c>
      <c r="U23" s="773">
        <v>1583499</v>
      </c>
      <c r="V23" s="773">
        <v>1441820</v>
      </c>
      <c r="W23" s="773">
        <v>8808089</v>
      </c>
      <c r="X23" s="773">
        <v>7245816</v>
      </c>
      <c r="Y23" s="773">
        <v>6458261</v>
      </c>
      <c r="Z23" s="773">
        <v>5951996</v>
      </c>
      <c r="AA23" s="791">
        <v>566006</v>
      </c>
      <c r="AB23" s="791">
        <v>613902</v>
      </c>
      <c r="AC23" s="773">
        <v>917618</v>
      </c>
      <c r="AD23" s="773">
        <v>660274</v>
      </c>
      <c r="AE23" s="773">
        <v>3367083</v>
      </c>
      <c r="AF23" s="773">
        <v>2827691</v>
      </c>
      <c r="AG23" s="773">
        <v>4948763</v>
      </c>
      <c r="AH23" s="773">
        <v>4007904</v>
      </c>
      <c r="AI23" s="773">
        <v>2183034</v>
      </c>
      <c r="AJ23" s="773">
        <v>1941605</v>
      </c>
      <c r="AK23" s="773">
        <v>2879740</v>
      </c>
      <c r="AL23" s="773">
        <v>2502902</v>
      </c>
      <c r="AM23" s="794"/>
      <c r="AN23" s="794"/>
      <c r="AO23" s="795">
        <v>4980101</v>
      </c>
      <c r="AP23" s="795">
        <v>4593611</v>
      </c>
      <c r="AQ23" s="798">
        <v>1055503</v>
      </c>
      <c r="AR23" s="798">
        <v>891018</v>
      </c>
      <c r="AS23" s="792">
        <v>907282</v>
      </c>
      <c r="AT23" s="792">
        <v>745657</v>
      </c>
      <c r="AU23" s="773">
        <v>3506080</v>
      </c>
      <c r="AV23" s="773">
        <v>2399187</v>
      </c>
      <c r="AW23" s="1473">
        <v>71079447</v>
      </c>
      <c r="AX23" s="792">
        <v>68461398</v>
      </c>
    </row>
    <row r="24" spans="1:50" ht="16.5">
      <c r="A24" s="687" t="s">
        <v>403</v>
      </c>
      <c r="B24" s="775"/>
      <c r="C24" s="771"/>
      <c r="D24" s="1392"/>
      <c r="E24" s="773"/>
      <c r="F24" s="773"/>
      <c r="G24" s="782"/>
      <c r="H24" s="773"/>
      <c r="I24" s="773"/>
      <c r="J24" s="773"/>
      <c r="K24" s="773"/>
      <c r="L24" s="773"/>
      <c r="M24" s="785"/>
      <c r="N24" s="785"/>
      <c r="O24" s="773">
        <v>-213790</v>
      </c>
      <c r="P24" s="773">
        <v>-884752</v>
      </c>
      <c r="Q24" s="788"/>
      <c r="R24" s="788"/>
      <c r="S24" s="773"/>
      <c r="T24" s="773"/>
      <c r="U24" s="773"/>
      <c r="V24" s="773"/>
      <c r="W24" s="773"/>
      <c r="X24" s="773"/>
      <c r="Y24" s="773"/>
      <c r="Z24" s="773"/>
      <c r="AA24" s="791"/>
      <c r="AB24" s="791"/>
      <c r="AC24" s="773"/>
      <c r="AD24" s="773"/>
      <c r="AE24" s="773"/>
      <c r="AF24" s="773"/>
      <c r="AG24" s="773"/>
      <c r="AH24" s="773"/>
      <c r="AI24" s="773"/>
      <c r="AJ24" s="773"/>
      <c r="AK24" s="773"/>
      <c r="AL24" s="773"/>
      <c r="AM24" s="794"/>
      <c r="AN24" s="794"/>
      <c r="AO24" s="795"/>
      <c r="AP24" s="795"/>
      <c r="AQ24" s="798"/>
      <c r="AR24" s="798"/>
      <c r="AS24" s="792"/>
      <c r="AT24" s="792"/>
      <c r="AU24" s="773"/>
      <c r="AV24" s="773"/>
      <c r="AW24" s="1473">
        <v>117</v>
      </c>
      <c r="AX24" s="792">
        <v>6258</v>
      </c>
    </row>
    <row r="25" spans="1:50" ht="16.5">
      <c r="A25" s="687" t="s">
        <v>349</v>
      </c>
      <c r="B25" s="780"/>
      <c r="C25" s="771">
        <v>527</v>
      </c>
      <c r="D25" s="1392">
        <v>-520</v>
      </c>
      <c r="E25" s="773">
        <v>-5197</v>
      </c>
      <c r="F25" s="773">
        <v>989</v>
      </c>
      <c r="G25" s="782">
        <v>12559</v>
      </c>
      <c r="H25" s="773">
        <v>609</v>
      </c>
      <c r="I25" s="773">
        <v>171</v>
      </c>
      <c r="J25" s="773">
        <v>1763</v>
      </c>
      <c r="K25" s="773">
        <v>-9068</v>
      </c>
      <c r="L25" s="773">
        <v>7156</v>
      </c>
      <c r="M25" s="785"/>
      <c r="N25" s="785"/>
      <c r="O25" s="773"/>
      <c r="P25" s="773"/>
      <c r="Q25" s="788">
        <v>1628</v>
      </c>
      <c r="R25" s="788">
        <v>734</v>
      </c>
      <c r="S25" s="773"/>
      <c r="T25" s="773"/>
      <c r="U25" s="773">
        <v>5769</v>
      </c>
      <c r="V25" s="773">
        <v>158</v>
      </c>
      <c r="W25" s="773"/>
      <c r="X25" s="773"/>
      <c r="Y25" s="773">
        <v>-1949</v>
      </c>
      <c r="Z25" s="773">
        <v>-11137</v>
      </c>
      <c r="AA25" s="791">
        <v>39667</v>
      </c>
      <c r="AB25" s="791">
        <v>2275</v>
      </c>
      <c r="AC25" s="773"/>
      <c r="AD25" s="773"/>
      <c r="AE25" s="773"/>
      <c r="AF25" s="773"/>
      <c r="AG25" s="773">
        <v>2575</v>
      </c>
      <c r="AH25" s="773">
        <v>6231</v>
      </c>
      <c r="AI25" s="773"/>
      <c r="AJ25" s="773"/>
      <c r="AK25" s="773"/>
      <c r="AL25" s="773"/>
      <c r="AM25" s="794"/>
      <c r="AN25" s="794"/>
      <c r="AO25" s="795">
        <v>2993</v>
      </c>
      <c r="AP25" s="795">
        <v>4136</v>
      </c>
      <c r="AQ25" s="798"/>
      <c r="AR25" s="798"/>
      <c r="AS25" s="792">
        <v>240</v>
      </c>
      <c r="AT25" s="792">
        <v>418</v>
      </c>
      <c r="AU25" s="773"/>
      <c r="AV25" s="773"/>
      <c r="AW25" s="1473">
        <v>5078370</v>
      </c>
      <c r="AX25" s="792">
        <v>7440539</v>
      </c>
    </row>
    <row r="26" spans="1:50" ht="17.25">
      <c r="A26" s="687" t="s">
        <v>350</v>
      </c>
      <c r="B26" s="780"/>
      <c r="C26" s="772"/>
      <c r="D26" s="1393"/>
      <c r="E26" s="774"/>
      <c r="F26" s="774"/>
      <c r="G26" s="783"/>
      <c r="H26" s="774"/>
      <c r="I26" s="774"/>
      <c r="J26" s="774"/>
      <c r="K26" s="774">
        <v>18567</v>
      </c>
      <c r="L26" s="774">
        <v>3275</v>
      </c>
      <c r="M26" s="786"/>
      <c r="N26" s="786"/>
      <c r="O26" s="774"/>
      <c r="P26" s="774"/>
      <c r="Q26" s="789"/>
      <c r="R26" s="789"/>
      <c r="S26" s="774"/>
      <c r="T26" s="774"/>
      <c r="U26" s="774">
        <v>110</v>
      </c>
      <c r="V26" s="774">
        <v>-49</v>
      </c>
      <c r="W26" s="774"/>
      <c r="X26" s="774"/>
      <c r="Y26" s="774">
        <v>6157</v>
      </c>
      <c r="Z26" s="774">
        <v>14401</v>
      </c>
      <c r="AA26" s="791">
        <v>175</v>
      </c>
      <c r="AB26" s="791"/>
      <c r="AC26" s="774"/>
      <c r="AD26" s="774"/>
      <c r="AE26" s="793"/>
      <c r="AF26" s="793"/>
      <c r="AG26" s="774">
        <v>1588</v>
      </c>
      <c r="AH26" s="774"/>
      <c r="AI26" s="774"/>
      <c r="AJ26" s="774"/>
      <c r="AK26" s="774"/>
      <c r="AL26" s="774"/>
      <c r="AM26" s="794"/>
      <c r="AN26" s="794"/>
      <c r="AO26" s="797">
        <v>675</v>
      </c>
      <c r="AP26" s="797">
        <v>489</v>
      </c>
      <c r="AQ26" s="798"/>
      <c r="AR26" s="798"/>
      <c r="AS26" s="792">
        <v>252</v>
      </c>
      <c r="AT26" s="792">
        <v>201</v>
      </c>
      <c r="AU26" s="774"/>
      <c r="AV26" s="774"/>
      <c r="AW26" s="783"/>
      <c r="AX26" s="774"/>
    </row>
    <row r="27" spans="1:50" ht="16.5">
      <c r="A27" s="687" t="s">
        <v>351</v>
      </c>
      <c r="B27" s="780"/>
      <c r="C27" s="771">
        <v>47935</v>
      </c>
      <c r="D27" s="1392"/>
      <c r="E27" s="773"/>
      <c r="F27" s="773"/>
      <c r="G27" s="782"/>
      <c r="H27" s="773"/>
      <c r="I27" s="773"/>
      <c r="J27" s="773"/>
      <c r="K27" s="773"/>
      <c r="L27" s="773"/>
      <c r="M27" s="785"/>
      <c r="N27" s="785"/>
      <c r="O27" s="773"/>
      <c r="P27" s="773"/>
      <c r="Q27" s="788"/>
      <c r="R27" s="788"/>
      <c r="S27" s="773"/>
      <c r="T27" s="773"/>
      <c r="U27" s="773"/>
      <c r="V27" s="773"/>
      <c r="W27" s="773">
        <v>48377</v>
      </c>
      <c r="X27" s="773">
        <v>234497</v>
      </c>
      <c r="Y27" s="773"/>
      <c r="Z27" s="773"/>
      <c r="AA27" s="791"/>
      <c r="AB27" s="791"/>
      <c r="AC27" s="773"/>
      <c r="AD27" s="773"/>
      <c r="AE27" s="773">
        <v>158278</v>
      </c>
      <c r="AF27" s="773">
        <v>112344</v>
      </c>
      <c r="AG27" s="773"/>
      <c r="AH27" s="773"/>
      <c r="AI27" s="773">
        <v>113222</v>
      </c>
      <c r="AJ27" s="773">
        <v>26940</v>
      </c>
      <c r="AK27" s="773"/>
      <c r="AL27" s="773"/>
      <c r="AM27" s="794"/>
      <c r="AN27" s="794"/>
      <c r="AO27" s="755">
        <v>1779233</v>
      </c>
      <c r="AP27" s="755">
        <v>1547894</v>
      </c>
      <c r="AQ27" s="798">
        <v>136503</v>
      </c>
      <c r="AR27" s="798">
        <v>135177</v>
      </c>
      <c r="AS27" s="792"/>
      <c r="AT27" s="792"/>
      <c r="AU27" s="773">
        <v>-180726</v>
      </c>
      <c r="AV27" s="773">
        <v>-85424</v>
      </c>
      <c r="AW27" s="1473">
        <v>4735313</v>
      </c>
      <c r="AX27" s="792">
        <v>13478352</v>
      </c>
    </row>
    <row r="28" spans="1:50" ht="16.5">
      <c r="A28" s="687" t="s">
        <v>352</v>
      </c>
      <c r="B28" s="780"/>
      <c r="C28" s="771"/>
      <c r="D28" s="1392"/>
      <c r="E28" s="773"/>
      <c r="F28" s="773"/>
      <c r="G28" s="782"/>
      <c r="H28" s="773"/>
      <c r="I28" s="773"/>
      <c r="J28" s="773"/>
      <c r="K28" s="773"/>
      <c r="L28" s="773"/>
      <c r="M28" s="785"/>
      <c r="N28" s="785"/>
      <c r="O28" s="773"/>
      <c r="P28" s="773"/>
      <c r="Q28" s="788"/>
      <c r="R28" s="788"/>
      <c r="S28" s="773"/>
      <c r="T28" s="773"/>
      <c r="U28" s="773"/>
      <c r="V28" s="773"/>
      <c r="W28" s="773"/>
      <c r="X28" s="773"/>
      <c r="Y28" s="773"/>
      <c r="Z28" s="773"/>
      <c r="AA28" s="791"/>
      <c r="AB28" s="791"/>
      <c r="AC28" s="773"/>
      <c r="AD28" s="773"/>
      <c r="AE28" s="773"/>
      <c r="AF28" s="773"/>
      <c r="AG28" s="773"/>
      <c r="AH28" s="773"/>
      <c r="AI28" s="773"/>
      <c r="AJ28" s="773"/>
      <c r="AK28" s="773"/>
      <c r="AL28" s="773"/>
      <c r="AM28" s="794"/>
      <c r="AN28" s="794"/>
      <c r="AO28" s="795"/>
      <c r="AP28" s="795"/>
      <c r="AQ28" s="798"/>
      <c r="AR28" s="798"/>
      <c r="AS28" s="792"/>
      <c r="AT28" s="792"/>
      <c r="AU28" s="773"/>
      <c r="AV28" s="773"/>
      <c r="AW28" s="1473"/>
      <c r="AX28" s="792"/>
    </row>
    <row r="29" spans="1:50" ht="16.5">
      <c r="A29" s="687" t="s">
        <v>353</v>
      </c>
      <c r="B29" s="780"/>
      <c r="C29" s="771"/>
      <c r="D29" s="1392"/>
      <c r="E29" s="773"/>
      <c r="F29" s="773"/>
      <c r="G29" s="782"/>
      <c r="H29" s="773"/>
      <c r="I29" s="773"/>
      <c r="J29" s="773"/>
      <c r="K29" s="773"/>
      <c r="L29" s="773"/>
      <c r="M29" s="785"/>
      <c r="N29" s="785"/>
      <c r="O29" s="773"/>
      <c r="P29" s="773"/>
      <c r="Q29" s="788"/>
      <c r="R29" s="788"/>
      <c r="S29" s="773"/>
      <c r="T29" s="773"/>
      <c r="U29" s="773"/>
      <c r="V29" s="773"/>
      <c r="W29" s="773"/>
      <c r="X29" s="773"/>
      <c r="Y29" s="773"/>
      <c r="Z29" s="773"/>
      <c r="AA29" s="791"/>
      <c r="AB29" s="791"/>
      <c r="AC29" s="773"/>
      <c r="AD29" s="773"/>
      <c r="AE29" s="773"/>
      <c r="AF29" s="773"/>
      <c r="AG29" s="773"/>
      <c r="AH29" s="773"/>
      <c r="AI29" s="773"/>
      <c r="AJ29" s="773"/>
      <c r="AK29" s="773"/>
      <c r="AL29" s="773"/>
      <c r="AM29" s="794"/>
      <c r="AN29" s="794"/>
      <c r="AO29" s="755"/>
      <c r="AP29" s="755"/>
      <c r="AQ29" s="798"/>
      <c r="AR29" s="798"/>
      <c r="AS29" s="792"/>
      <c r="AT29" s="792"/>
      <c r="AU29" s="773"/>
      <c r="AV29" s="773"/>
      <c r="AW29" s="1473"/>
      <c r="AX29" s="792"/>
    </row>
    <row r="30" spans="1:50" ht="16.5">
      <c r="A30" s="687" t="s">
        <v>354</v>
      </c>
      <c r="B30" s="780"/>
      <c r="C30" s="771"/>
      <c r="D30" s="1392"/>
      <c r="E30" s="773"/>
      <c r="F30" s="773"/>
      <c r="G30" s="782"/>
      <c r="H30" s="773"/>
      <c r="I30" s="773">
        <v>975146</v>
      </c>
      <c r="J30" s="773"/>
      <c r="K30" s="773"/>
      <c r="L30" s="773"/>
      <c r="M30" s="785"/>
      <c r="N30" s="785"/>
      <c r="O30" s="773">
        <v>144399</v>
      </c>
      <c r="P30" s="773"/>
      <c r="Q30" s="788">
        <v>37682</v>
      </c>
      <c r="R30" s="788">
        <v>10142</v>
      </c>
      <c r="S30" s="773"/>
      <c r="T30" s="773"/>
      <c r="U30" s="773"/>
      <c r="V30" s="773"/>
      <c r="W30" s="773">
        <v>677328</v>
      </c>
      <c r="X30" s="773">
        <v>101306</v>
      </c>
      <c r="Y30" s="773">
        <v>410160</v>
      </c>
      <c r="Z30" s="773"/>
      <c r="AA30" s="791">
        <v>-37959</v>
      </c>
      <c r="AB30" s="791"/>
      <c r="AC30" s="773">
        <v>170661</v>
      </c>
      <c r="AD30" s="773"/>
      <c r="AE30" s="773">
        <v>39304</v>
      </c>
      <c r="AF30" s="773"/>
      <c r="AG30" s="773"/>
      <c r="AH30" s="773"/>
      <c r="AI30" s="773"/>
      <c r="AJ30" s="773"/>
      <c r="AK30" s="773"/>
      <c r="AL30" s="773"/>
      <c r="AM30" s="794"/>
      <c r="AN30" s="794"/>
      <c r="AO30" s="795">
        <v>183006</v>
      </c>
      <c r="AP30" s="795">
        <v>-39373</v>
      </c>
      <c r="AQ30" s="798">
        <v>45661</v>
      </c>
      <c r="AR30" s="798"/>
      <c r="AS30" s="792">
        <v>118700</v>
      </c>
      <c r="AT30" s="792"/>
      <c r="AU30" s="773">
        <v>-9987</v>
      </c>
      <c r="AV30" s="773">
        <v>-4962</v>
      </c>
      <c r="AW30" s="1473">
        <v>3757923</v>
      </c>
      <c r="AX30" s="792">
        <v>263976</v>
      </c>
    </row>
    <row r="31" spans="1:50" ht="17.25">
      <c r="A31" s="687" t="s">
        <v>355</v>
      </c>
      <c r="B31" s="780"/>
      <c r="C31" s="772">
        <v>-41</v>
      </c>
      <c r="D31" s="1393">
        <v>-41</v>
      </c>
      <c r="E31" s="774"/>
      <c r="F31" s="774"/>
      <c r="G31" s="783"/>
      <c r="H31" s="774"/>
      <c r="I31" s="774">
        <v>1616</v>
      </c>
      <c r="J31" s="774">
        <v>1784</v>
      </c>
      <c r="K31" s="774"/>
      <c r="L31" s="774"/>
      <c r="M31" s="786"/>
      <c r="N31" s="786"/>
      <c r="O31" s="774"/>
      <c r="P31" s="774"/>
      <c r="Q31" s="789"/>
      <c r="R31" s="789"/>
      <c r="S31" s="774"/>
      <c r="T31" s="774"/>
      <c r="U31" s="774"/>
      <c r="V31" s="774"/>
      <c r="W31" s="774">
        <v>163503</v>
      </c>
      <c r="X31" s="774">
        <v>199</v>
      </c>
      <c r="Y31" s="774"/>
      <c r="Z31" s="774"/>
      <c r="AA31" s="791"/>
      <c r="AB31" s="791"/>
      <c r="AC31" s="774"/>
      <c r="AD31" s="774"/>
      <c r="AE31" s="793">
        <v>-14</v>
      </c>
      <c r="AF31" s="793">
        <v>-148</v>
      </c>
      <c r="AG31" s="774"/>
      <c r="AH31" s="774"/>
      <c r="AI31" s="774"/>
      <c r="AJ31" s="774"/>
      <c r="AK31" s="774"/>
      <c r="AL31" s="774"/>
      <c r="AM31" s="794"/>
      <c r="AN31" s="794"/>
      <c r="AO31" s="797">
        <v>-150</v>
      </c>
      <c r="AP31" s="797">
        <v>-150</v>
      </c>
      <c r="AQ31" s="798"/>
      <c r="AR31" s="798"/>
      <c r="AS31" s="792"/>
      <c r="AT31" s="792"/>
      <c r="AU31" s="774"/>
      <c r="AV31" s="774"/>
      <c r="AW31" s="783"/>
      <c r="AX31" s="774"/>
    </row>
    <row r="32" spans="1:50" ht="17.25">
      <c r="A32" s="687" t="s">
        <v>457</v>
      </c>
      <c r="B32" s="780"/>
      <c r="C32" s="772"/>
      <c r="D32" s="1393"/>
      <c r="E32" s="774"/>
      <c r="F32" s="774"/>
      <c r="G32" s="783"/>
      <c r="H32" s="774"/>
      <c r="I32" s="774"/>
      <c r="J32" s="774"/>
      <c r="K32" s="774"/>
      <c r="L32" s="774"/>
      <c r="M32" s="786"/>
      <c r="N32" s="786"/>
      <c r="O32" s="774"/>
      <c r="P32" s="774"/>
      <c r="Q32" s="789"/>
      <c r="R32" s="789"/>
      <c r="S32" s="774"/>
      <c r="T32" s="774"/>
      <c r="U32" s="774"/>
      <c r="V32" s="774"/>
      <c r="W32" s="774"/>
      <c r="X32" s="774"/>
      <c r="Y32" s="774"/>
      <c r="Z32" s="774"/>
      <c r="AA32" s="791"/>
      <c r="AB32" s="791"/>
      <c r="AC32" s="774"/>
      <c r="AD32" s="774"/>
      <c r="AE32" s="793"/>
      <c r="AF32" s="793"/>
      <c r="AG32" s="774"/>
      <c r="AH32" s="774"/>
      <c r="AI32" s="774">
        <v>632</v>
      </c>
      <c r="AJ32" s="774">
        <v>-281</v>
      </c>
      <c r="AK32" s="774"/>
      <c r="AL32" s="774"/>
      <c r="AM32" s="794"/>
      <c r="AN32" s="794"/>
      <c r="AO32" s="797"/>
      <c r="AP32" s="797"/>
      <c r="AQ32" s="798"/>
      <c r="AR32" s="798"/>
      <c r="AS32" s="792"/>
      <c r="AT32" s="792"/>
      <c r="AU32" s="774"/>
      <c r="AV32" s="774"/>
      <c r="AW32" s="783">
        <v>1706673</v>
      </c>
      <c r="AX32" s="774">
        <v>-9487490</v>
      </c>
    </row>
    <row r="33" spans="1:50" ht="16.5">
      <c r="A33" s="687" t="s">
        <v>356</v>
      </c>
      <c r="B33" s="780"/>
      <c r="C33" s="771">
        <v>273997</v>
      </c>
      <c r="D33" s="1392">
        <v>273809</v>
      </c>
      <c r="E33" s="773">
        <v>9598</v>
      </c>
      <c r="F33" s="773">
        <v>10139</v>
      </c>
      <c r="G33" s="782">
        <v>39038</v>
      </c>
      <c r="H33" s="773">
        <v>42780</v>
      </c>
      <c r="I33" s="773">
        <v>296456</v>
      </c>
      <c r="J33" s="773">
        <v>288861</v>
      </c>
      <c r="K33" s="773">
        <v>10125</v>
      </c>
      <c r="L33" s="773">
        <v>11108</v>
      </c>
      <c r="M33" s="785">
        <v>133242</v>
      </c>
      <c r="N33" s="785">
        <v>128392</v>
      </c>
      <c r="O33" s="773">
        <v>4134</v>
      </c>
      <c r="P33" s="773">
        <v>4667</v>
      </c>
      <c r="Q33" s="788">
        <v>14235</v>
      </c>
      <c r="R33" s="788"/>
      <c r="S33" s="773">
        <v>14322</v>
      </c>
      <c r="T33" s="773"/>
      <c r="U33" s="773">
        <v>10154</v>
      </c>
      <c r="V33" s="773">
        <v>10522</v>
      </c>
      <c r="W33" s="773">
        <v>849198</v>
      </c>
      <c r="X33" s="773">
        <v>789311</v>
      </c>
      <c r="Y33" s="773">
        <v>1528317</v>
      </c>
      <c r="Z33" s="773">
        <v>1450203</v>
      </c>
      <c r="AA33" s="792"/>
      <c r="AB33" s="792">
        <v>34942</v>
      </c>
      <c r="AC33" s="773">
        <v>69529</v>
      </c>
      <c r="AD33" s="773">
        <v>54098</v>
      </c>
      <c r="AE33" s="773">
        <v>148732</v>
      </c>
      <c r="AF33" s="773">
        <v>138506</v>
      </c>
      <c r="AG33" s="773">
        <v>330482</v>
      </c>
      <c r="AH33" s="773">
        <v>288055</v>
      </c>
      <c r="AI33" s="773">
        <v>106922</v>
      </c>
      <c r="AJ33" s="773">
        <v>100573</v>
      </c>
      <c r="AK33" s="773">
        <v>76870</v>
      </c>
      <c r="AL33" s="773">
        <v>84607</v>
      </c>
      <c r="AM33" s="794"/>
      <c r="AN33" s="794"/>
      <c r="AO33" s="795">
        <v>1113487</v>
      </c>
      <c r="AP33" s="795">
        <v>866829</v>
      </c>
      <c r="AQ33" s="798">
        <v>6806</v>
      </c>
      <c r="AR33" s="798">
        <v>7747</v>
      </c>
      <c r="AS33" s="792">
        <v>23713</v>
      </c>
      <c r="AT33" s="792">
        <v>23588</v>
      </c>
      <c r="AU33" s="773">
        <v>131269</v>
      </c>
      <c r="AV33" s="773">
        <v>112746</v>
      </c>
      <c r="AW33" s="782">
        <v>197935</v>
      </c>
      <c r="AX33" s="773">
        <v>291499</v>
      </c>
    </row>
    <row r="34" spans="1:50" s="1703" customFormat="1" ht="18">
      <c r="A34" s="1691" t="s">
        <v>357</v>
      </c>
      <c r="B34" s="1692"/>
      <c r="C34" s="1693">
        <v>4029140</v>
      </c>
      <c r="D34" s="1694">
        <v>3368782</v>
      </c>
      <c r="E34" s="1695">
        <v>334566</v>
      </c>
      <c r="F34" s="1695">
        <v>304120</v>
      </c>
      <c r="G34" s="1696">
        <v>899253</v>
      </c>
      <c r="H34" s="1695">
        <v>985319</v>
      </c>
      <c r="I34" s="1695">
        <v>6187902</v>
      </c>
      <c r="J34" s="1695">
        <v>3952801</v>
      </c>
      <c r="K34" s="1695">
        <v>2311138</v>
      </c>
      <c r="L34" s="1695">
        <v>1870707</v>
      </c>
      <c r="M34" s="1697">
        <v>1528825</v>
      </c>
      <c r="N34" s="1697">
        <v>1323720</v>
      </c>
      <c r="O34" s="1695">
        <v>861461</v>
      </c>
      <c r="P34" s="1695">
        <v>1142567</v>
      </c>
      <c r="Q34" s="1698">
        <v>628041</v>
      </c>
      <c r="R34" s="1698">
        <v>525379</v>
      </c>
      <c r="S34" s="1695">
        <v>2118807</v>
      </c>
      <c r="T34" s="1695">
        <v>2094066</v>
      </c>
      <c r="U34" s="1695">
        <v>1671209</v>
      </c>
      <c r="V34" s="1695">
        <v>1671209</v>
      </c>
      <c r="W34" s="1695">
        <v>13788788</v>
      </c>
      <c r="X34" s="1695">
        <v>10353029</v>
      </c>
      <c r="Y34" s="1695">
        <v>11049329</v>
      </c>
      <c r="Z34" s="1695">
        <v>10201118</v>
      </c>
      <c r="AA34" s="1699">
        <v>704949</v>
      </c>
      <c r="AB34" s="1699">
        <v>799369</v>
      </c>
      <c r="AC34" s="1695">
        <v>1381581</v>
      </c>
      <c r="AD34" s="1695">
        <v>898216</v>
      </c>
      <c r="AE34" s="1695">
        <v>4355372</v>
      </c>
      <c r="AF34" s="1695">
        <v>3654189</v>
      </c>
      <c r="AG34" s="1695">
        <v>6867358</v>
      </c>
      <c r="AH34" s="1695">
        <v>5753058</v>
      </c>
      <c r="AI34" s="1695">
        <v>2890839</v>
      </c>
      <c r="AJ34" s="1695">
        <v>2460368</v>
      </c>
      <c r="AK34" s="1695">
        <v>3333121</v>
      </c>
      <c r="AL34" s="1695">
        <v>2905440</v>
      </c>
      <c r="AM34" s="1700"/>
      <c r="AN34" s="1700"/>
      <c r="AO34" s="1701">
        <v>10553064</v>
      </c>
      <c r="AP34" s="1701">
        <v>8932360</v>
      </c>
      <c r="AQ34" s="1702">
        <v>1410601</v>
      </c>
      <c r="AR34" s="1702">
        <v>1205352</v>
      </c>
      <c r="AS34" s="1699">
        <v>1322404</v>
      </c>
      <c r="AT34" s="1699">
        <v>935756</v>
      </c>
      <c r="AU34" s="1695">
        <v>4681859</v>
      </c>
      <c r="AV34" s="1695">
        <v>3094159</v>
      </c>
      <c r="AW34" s="1696">
        <v>125191055</v>
      </c>
      <c r="AX34" s="1695">
        <v>117466454</v>
      </c>
    </row>
    <row r="35" spans="1:50" ht="16.5">
      <c r="A35" s="687" t="s">
        <v>358</v>
      </c>
      <c r="B35" s="775" t="s">
        <v>359</v>
      </c>
      <c r="C35" s="771">
        <v>13869858</v>
      </c>
      <c r="D35" s="1392">
        <v>11822616</v>
      </c>
      <c r="E35" s="773">
        <v>719949</v>
      </c>
      <c r="F35" s="773">
        <v>753674</v>
      </c>
      <c r="G35" s="782">
        <v>2430060</v>
      </c>
      <c r="H35" s="773">
        <v>2480740</v>
      </c>
      <c r="I35" s="773">
        <v>13045369</v>
      </c>
      <c r="J35" s="773">
        <v>11717172</v>
      </c>
      <c r="K35" s="773">
        <v>871501</v>
      </c>
      <c r="L35" s="773">
        <v>1088865</v>
      </c>
      <c r="M35" s="785">
        <v>3459672</v>
      </c>
      <c r="N35" s="785">
        <v>4235447</v>
      </c>
      <c r="O35" s="773">
        <v>855696</v>
      </c>
      <c r="P35" s="773">
        <v>747076</v>
      </c>
      <c r="Q35" s="788">
        <v>151421</v>
      </c>
      <c r="R35" s="788">
        <v>141301</v>
      </c>
      <c r="S35" s="773">
        <v>3131549</v>
      </c>
      <c r="T35" s="773">
        <v>2831454</v>
      </c>
      <c r="U35" s="773">
        <v>887118</v>
      </c>
      <c r="V35" s="773">
        <v>753873</v>
      </c>
      <c r="W35" s="773">
        <v>35151663</v>
      </c>
      <c r="X35" s="773">
        <v>28871083</v>
      </c>
      <c r="Y35" s="773">
        <v>36279743</v>
      </c>
      <c r="Z35" s="773">
        <v>29234407</v>
      </c>
      <c r="AA35" s="792">
        <v>1013291</v>
      </c>
      <c r="AB35" s="792">
        <v>903267</v>
      </c>
      <c r="AC35" s="773">
        <v>10503929</v>
      </c>
      <c r="AD35" s="773">
        <v>2842913</v>
      </c>
      <c r="AE35" s="773">
        <v>6582675</v>
      </c>
      <c r="AF35" s="773">
        <v>6621878</v>
      </c>
      <c r="AG35" s="773">
        <v>16500633</v>
      </c>
      <c r="AH35" s="773">
        <v>11792123</v>
      </c>
      <c r="AI35" s="773">
        <v>5628952</v>
      </c>
      <c r="AJ35" s="773">
        <v>4591006</v>
      </c>
      <c r="AK35" s="773">
        <v>6501898</v>
      </c>
      <c r="AL35" s="773">
        <v>6697910</v>
      </c>
      <c r="AM35" s="794"/>
      <c r="AN35" s="794"/>
      <c r="AO35" s="795">
        <v>28538346</v>
      </c>
      <c r="AP35" s="795">
        <v>21584720</v>
      </c>
      <c r="AQ35" s="798">
        <v>1249671</v>
      </c>
      <c r="AR35" s="798">
        <v>1122155</v>
      </c>
      <c r="AS35" s="792">
        <v>1781069</v>
      </c>
      <c r="AT35" s="792">
        <v>1756702</v>
      </c>
      <c r="AU35" s="773">
        <v>4987334</v>
      </c>
      <c r="AV35" s="773">
        <v>4108144</v>
      </c>
      <c r="AW35" s="782">
        <v>468470495</v>
      </c>
      <c r="AX35" s="773">
        <v>512876428</v>
      </c>
    </row>
    <row r="36" spans="1:50" ht="16.5">
      <c r="A36" s="687" t="s">
        <v>360</v>
      </c>
      <c r="B36" s="780"/>
      <c r="C36" s="771">
        <v>10070</v>
      </c>
      <c r="D36" s="1392">
        <v>9412</v>
      </c>
      <c r="E36" s="773">
        <v>304</v>
      </c>
      <c r="F36" s="773">
        <v>613</v>
      </c>
      <c r="G36" s="782">
        <v>5351</v>
      </c>
      <c r="H36" s="773">
        <v>11139</v>
      </c>
      <c r="I36" s="773">
        <v>172894</v>
      </c>
      <c r="J36" s="773">
        <v>132280</v>
      </c>
      <c r="K36" s="773"/>
      <c r="L36" s="773"/>
      <c r="M36" s="785">
        <v>4574</v>
      </c>
      <c r="N36" s="785">
        <v>1121</v>
      </c>
      <c r="O36" s="773">
        <v>47</v>
      </c>
      <c r="P36" s="773">
        <v>63</v>
      </c>
      <c r="Q36" s="788">
        <v>70</v>
      </c>
      <c r="R36" s="788">
        <v>31</v>
      </c>
      <c r="S36" s="773">
        <v>2055</v>
      </c>
      <c r="T36" s="773">
        <v>1458</v>
      </c>
      <c r="U36" s="773">
        <v>3918</v>
      </c>
      <c r="V36" s="773">
        <v>1383</v>
      </c>
      <c r="W36" s="773">
        <f>162811+1303094</f>
        <v>1465905</v>
      </c>
      <c r="X36" s="773">
        <f>66564+486875</f>
        <v>553439</v>
      </c>
      <c r="Y36" s="773">
        <v>165845</v>
      </c>
      <c r="Z36" s="773">
        <v>160847</v>
      </c>
      <c r="AA36" s="792">
        <v>14</v>
      </c>
      <c r="AB36" s="792">
        <v>5</v>
      </c>
      <c r="AC36" s="773"/>
      <c r="AD36" s="773"/>
      <c r="AE36" s="773">
        <v>42442</v>
      </c>
      <c r="AF36" s="773">
        <v>32632</v>
      </c>
      <c r="AG36" s="773">
        <v>3489</v>
      </c>
      <c r="AH36" s="773">
        <v>2646</v>
      </c>
      <c r="AI36" s="773">
        <v>9200</v>
      </c>
      <c r="AJ36" s="773">
        <v>7560</v>
      </c>
      <c r="AK36" s="773">
        <v>1303</v>
      </c>
      <c r="AL36" s="773">
        <v>1533</v>
      </c>
      <c r="AM36" s="794"/>
      <c r="AN36" s="794"/>
      <c r="AO36" s="795">
        <v>66195</v>
      </c>
      <c r="AP36" s="795">
        <v>63169</v>
      </c>
      <c r="AQ36" s="798">
        <v>1225</v>
      </c>
      <c r="AR36" s="798">
        <v>18340</v>
      </c>
      <c r="AS36" s="792">
        <v>2</v>
      </c>
      <c r="AT36" s="792">
        <v>612</v>
      </c>
      <c r="AU36" s="773"/>
      <c r="AV36" s="773"/>
      <c r="AW36" s="782">
        <v>3895615</v>
      </c>
      <c r="AX36" s="773">
        <v>3738650</v>
      </c>
    </row>
    <row r="37" spans="1:50" ht="17.25">
      <c r="A37" s="687" t="s">
        <v>361</v>
      </c>
      <c r="B37" s="780"/>
      <c r="C37" s="772"/>
      <c r="D37" s="1393"/>
      <c r="E37" s="774"/>
      <c r="F37" s="774"/>
      <c r="G37" s="783"/>
      <c r="H37" s="774"/>
      <c r="I37" s="774"/>
      <c r="J37" s="774"/>
      <c r="K37" s="774"/>
      <c r="L37" s="774"/>
      <c r="M37" s="786"/>
      <c r="N37" s="786"/>
      <c r="O37" s="774"/>
      <c r="P37" s="774"/>
      <c r="Q37" s="789"/>
      <c r="R37" s="789"/>
      <c r="S37" s="774"/>
      <c r="T37" s="774"/>
      <c r="U37" s="774"/>
      <c r="V37" s="774"/>
      <c r="W37" s="774"/>
      <c r="X37" s="774"/>
      <c r="Y37" s="774"/>
      <c r="Z37" s="774"/>
      <c r="AA37" s="791"/>
      <c r="AB37" s="791"/>
      <c r="AC37" s="774"/>
      <c r="AD37" s="774"/>
      <c r="AE37" s="793"/>
      <c r="AF37" s="793"/>
      <c r="AG37" s="774"/>
      <c r="AH37" s="774"/>
      <c r="AI37" s="774"/>
      <c r="AJ37" s="774"/>
      <c r="AK37" s="774"/>
      <c r="AL37" s="774"/>
      <c r="AM37" s="794"/>
      <c r="AN37" s="794"/>
      <c r="AO37" s="755"/>
      <c r="AP37" s="755"/>
      <c r="AQ37" s="798"/>
      <c r="AR37" s="798"/>
      <c r="AS37" s="792"/>
      <c r="AT37" s="792"/>
      <c r="AU37" s="774"/>
      <c r="AV37" s="774"/>
      <c r="AW37" s="783"/>
      <c r="AX37" s="774"/>
    </row>
    <row r="38" spans="1:50" ht="16.5">
      <c r="A38" s="687" t="s">
        <v>362</v>
      </c>
      <c r="B38" s="780"/>
      <c r="C38" s="771">
        <v>3430428</v>
      </c>
      <c r="D38" s="1392">
        <v>6520653</v>
      </c>
      <c r="E38" s="773"/>
      <c r="F38" s="773"/>
      <c r="G38" s="782">
        <v>64352</v>
      </c>
      <c r="H38" s="773">
        <v>432911</v>
      </c>
      <c r="I38" s="773">
        <v>5893348</v>
      </c>
      <c r="J38" s="773">
        <v>3585976</v>
      </c>
      <c r="K38" s="773">
        <v>2428728</v>
      </c>
      <c r="L38" s="773">
        <v>1907189</v>
      </c>
      <c r="M38" s="785">
        <v>6052253</v>
      </c>
      <c r="N38" s="785">
        <v>3857961</v>
      </c>
      <c r="O38" s="773">
        <v>1526012</v>
      </c>
      <c r="P38" s="773">
        <v>2188742</v>
      </c>
      <c r="Q38" s="788">
        <v>845801</v>
      </c>
      <c r="R38" s="788">
        <v>666356</v>
      </c>
      <c r="S38" s="773">
        <f>3666010-103512+3769522</f>
        <v>7332020</v>
      </c>
      <c r="T38" s="773">
        <f>2484082-470442+2954524</f>
        <v>4968164</v>
      </c>
      <c r="U38" s="773">
        <f>-51108+851329</f>
        <v>800221</v>
      </c>
      <c r="V38" s="773">
        <f>-66399+475180</f>
        <v>408781</v>
      </c>
      <c r="W38" s="773">
        <v>32699594</v>
      </c>
      <c r="X38" s="773">
        <v>23820331</v>
      </c>
      <c r="Y38" s="773">
        <v>28107289</v>
      </c>
      <c r="Z38" s="773">
        <v>19676020</v>
      </c>
      <c r="AA38" s="791">
        <v>2210235</v>
      </c>
      <c r="AB38" s="791">
        <v>2058043</v>
      </c>
      <c r="AC38" s="773">
        <v>-2639677</v>
      </c>
      <c r="AD38" s="773">
        <v>3438533</v>
      </c>
      <c r="AE38" s="773">
        <v>7601077</v>
      </c>
      <c r="AF38" s="773">
        <v>3835695</v>
      </c>
      <c r="AG38" s="773">
        <v>13454956</v>
      </c>
      <c r="AH38" s="773">
        <v>14126738</v>
      </c>
      <c r="AI38" s="773">
        <f>-1687987+5682494</f>
        <v>3994507</v>
      </c>
      <c r="AJ38" s="773">
        <f>186514+4926191</f>
        <v>5112705</v>
      </c>
      <c r="AK38" s="773">
        <f>-2075857+4256823</f>
        <v>2180966</v>
      </c>
      <c r="AL38" s="773">
        <f>-425765+2942517</f>
        <v>2516752</v>
      </c>
      <c r="AM38" s="794"/>
      <c r="AN38" s="794"/>
      <c r="AO38" s="795">
        <v>22320652</v>
      </c>
      <c r="AP38" s="795">
        <v>17645693</v>
      </c>
      <c r="AQ38" s="798">
        <v>517510</v>
      </c>
      <c r="AR38" s="798">
        <v>974150</v>
      </c>
      <c r="AS38" s="792">
        <v>2364735</v>
      </c>
      <c r="AT38" s="792">
        <v>1460429</v>
      </c>
      <c r="AU38" s="773">
        <f>17589527+1049666</f>
        <v>18639193</v>
      </c>
      <c r="AV38" s="773">
        <f>6601282+1863291</f>
        <v>8464573</v>
      </c>
      <c r="AW38" s="782">
        <v>8691279918</v>
      </c>
      <c r="AX38" s="773">
        <v>586627959</v>
      </c>
    </row>
    <row r="39" spans="1:50" ht="16.5">
      <c r="A39" s="687" t="s">
        <v>363</v>
      </c>
      <c r="B39" s="780"/>
      <c r="C39" s="771">
        <v>-288809</v>
      </c>
      <c r="D39" s="1392">
        <v>-183647</v>
      </c>
      <c r="E39" s="773">
        <v>-42833</v>
      </c>
      <c r="F39" s="773">
        <v>-68276</v>
      </c>
      <c r="G39" s="782">
        <v>-5634</v>
      </c>
      <c r="H39" s="773"/>
      <c r="I39" s="773">
        <v>-55620</v>
      </c>
      <c r="J39" s="773">
        <v>-82911</v>
      </c>
      <c r="K39" s="773">
        <v>9084</v>
      </c>
      <c r="L39" s="773">
        <v>-10898</v>
      </c>
      <c r="M39" s="785">
        <v>-334275</v>
      </c>
      <c r="N39" s="785"/>
      <c r="O39" s="773">
        <v>57202</v>
      </c>
      <c r="P39" s="773">
        <v>-40177</v>
      </c>
      <c r="Q39" s="788">
        <v>-21715</v>
      </c>
      <c r="R39" s="788">
        <v>-80391</v>
      </c>
      <c r="S39" s="773">
        <v>-116106</v>
      </c>
      <c r="T39" s="773">
        <v>-108523</v>
      </c>
      <c r="U39" s="773">
        <v>-1041</v>
      </c>
      <c r="V39" s="773">
        <v>6489</v>
      </c>
      <c r="W39" s="773">
        <v>-1054319</v>
      </c>
      <c r="X39" s="773">
        <v>-2034220</v>
      </c>
      <c r="Y39" s="773">
        <v>-11923178</v>
      </c>
      <c r="Z39" s="773">
        <v>-6196223</v>
      </c>
      <c r="AA39" s="791">
        <v>7628</v>
      </c>
      <c r="AB39" s="791">
        <v>7060</v>
      </c>
      <c r="AC39" s="773"/>
      <c r="AD39" s="773"/>
      <c r="AE39" s="773">
        <v>-110305</v>
      </c>
      <c r="AF39" s="773">
        <v>-47172</v>
      </c>
      <c r="AG39" s="773">
        <v>-661478</v>
      </c>
      <c r="AH39" s="773">
        <v>-68667</v>
      </c>
      <c r="AI39" s="773">
        <v>-329103</v>
      </c>
      <c r="AJ39" s="773">
        <v>-648383</v>
      </c>
      <c r="AK39" s="773"/>
      <c r="AL39" s="773"/>
      <c r="AM39" s="794"/>
      <c r="AN39" s="794"/>
      <c r="AO39" s="795">
        <v>18760</v>
      </c>
      <c r="AP39" s="795">
        <v>382850</v>
      </c>
      <c r="AQ39" s="798"/>
      <c r="AR39" s="798"/>
      <c r="AS39" s="792">
        <v>-262052</v>
      </c>
      <c r="AT39" s="792">
        <v>-142524</v>
      </c>
      <c r="AU39" s="773">
        <v>-7670157</v>
      </c>
      <c r="AV39" s="773">
        <v>-3119103</v>
      </c>
      <c r="AW39" s="782"/>
      <c r="AX39" s="773"/>
    </row>
    <row r="40" spans="1:50" ht="16.5">
      <c r="A40" s="687" t="s">
        <v>364</v>
      </c>
      <c r="B40" s="780"/>
      <c r="C40" s="771"/>
      <c r="D40" s="1392"/>
      <c r="E40" s="773"/>
      <c r="F40" s="773"/>
      <c r="G40" s="782"/>
      <c r="H40" s="773"/>
      <c r="I40" s="773"/>
      <c r="J40" s="773"/>
      <c r="K40" s="773"/>
      <c r="L40" s="773"/>
      <c r="M40" s="785"/>
      <c r="N40" s="785"/>
      <c r="O40" s="773"/>
      <c r="P40" s="773"/>
      <c r="Q40" s="788"/>
      <c r="R40" s="788"/>
      <c r="S40" s="773"/>
      <c r="T40" s="773"/>
      <c r="U40" s="773"/>
      <c r="V40" s="773"/>
      <c r="W40" s="773"/>
      <c r="X40" s="773"/>
      <c r="Y40" s="773"/>
      <c r="Z40" s="773"/>
      <c r="AA40" s="791"/>
      <c r="AB40" s="791"/>
      <c r="AC40" s="773"/>
      <c r="AD40" s="773"/>
      <c r="AE40" s="773"/>
      <c r="AF40" s="773"/>
      <c r="AG40" s="773"/>
      <c r="AH40" s="773"/>
      <c r="AI40" s="773"/>
      <c r="AJ40" s="773"/>
      <c r="AK40" s="773"/>
      <c r="AL40" s="773"/>
      <c r="AM40" s="794"/>
      <c r="AN40" s="794"/>
      <c r="AO40" s="755"/>
      <c r="AP40" s="755"/>
      <c r="AQ40" s="798"/>
      <c r="AR40" s="798"/>
      <c r="AS40" s="792"/>
      <c r="AT40" s="792"/>
      <c r="AU40" s="773"/>
      <c r="AV40" s="773"/>
      <c r="AW40" s="782"/>
      <c r="AX40" s="773"/>
    </row>
    <row r="41" spans="1:50" ht="16.5">
      <c r="A41" s="687" t="s">
        <v>365</v>
      </c>
      <c r="B41" s="780"/>
      <c r="C41" s="771">
        <f>-1086904+932009</f>
        <v>-154895</v>
      </c>
      <c r="D41" s="1392">
        <f>-4189293+562508</f>
        <v>-3626785</v>
      </c>
      <c r="E41" s="773">
        <f>252821+76602</f>
        <v>329423</v>
      </c>
      <c r="F41" s="773">
        <f>753537-119730</f>
        <v>633807</v>
      </c>
      <c r="G41" s="782"/>
      <c r="H41" s="773"/>
      <c r="I41" s="773">
        <v>-2027621</v>
      </c>
      <c r="J41" s="773">
        <v>3847749</v>
      </c>
      <c r="K41" s="773"/>
      <c r="L41" s="773"/>
      <c r="M41" s="785"/>
      <c r="N41" s="785"/>
      <c r="O41" s="773"/>
      <c r="P41" s="773"/>
      <c r="Q41" s="788">
        <v>23154</v>
      </c>
      <c r="R41" s="788">
        <v>257690</v>
      </c>
      <c r="S41" s="773"/>
      <c r="T41" s="773"/>
      <c r="U41" s="773"/>
      <c r="V41" s="773"/>
      <c r="W41" s="773">
        <v>-4849948</v>
      </c>
      <c r="X41" s="773">
        <v>814240</v>
      </c>
      <c r="Y41" s="773">
        <v>4894132</v>
      </c>
      <c r="Z41" s="773">
        <v>13672815</v>
      </c>
      <c r="AA41" s="791"/>
      <c r="AB41" s="791"/>
      <c r="AC41" s="773">
        <v>78538</v>
      </c>
      <c r="AD41" s="773">
        <v>151732</v>
      </c>
      <c r="AE41" s="773"/>
      <c r="AF41" s="773"/>
      <c r="AG41" s="773"/>
      <c r="AH41" s="773"/>
      <c r="AI41" s="773"/>
      <c r="AJ41" s="773"/>
      <c r="AK41" s="773"/>
      <c r="AL41" s="773"/>
      <c r="AM41" s="794"/>
      <c r="AN41" s="794"/>
      <c r="AO41" s="795">
        <v>24436519</v>
      </c>
      <c r="AP41" s="795">
        <v>11593955</v>
      </c>
      <c r="AQ41" s="798"/>
      <c r="AR41" s="798"/>
      <c r="AS41" s="792"/>
      <c r="AT41" s="792"/>
      <c r="AU41" s="773"/>
      <c r="AV41" s="773"/>
      <c r="AW41" s="782"/>
      <c r="AX41" s="773"/>
    </row>
    <row r="42" spans="1:50" ht="17.25">
      <c r="A42" s="687" t="s">
        <v>366</v>
      </c>
      <c r="B42" s="780"/>
      <c r="C42" s="772"/>
      <c r="D42" s="1393"/>
      <c r="E42" s="774"/>
      <c r="F42" s="774"/>
      <c r="G42" s="783">
        <v>182190</v>
      </c>
      <c r="H42" s="774">
        <v>159062</v>
      </c>
      <c r="I42" s="774">
        <v>1667321</v>
      </c>
      <c r="J42" s="774">
        <v>1281633</v>
      </c>
      <c r="K42" s="774"/>
      <c r="L42" s="774"/>
      <c r="M42" s="786"/>
      <c r="N42" s="786"/>
      <c r="O42" s="774"/>
      <c r="P42" s="774"/>
      <c r="Q42" s="789">
        <v>267814</v>
      </c>
      <c r="R42" s="789">
        <v>152935</v>
      </c>
      <c r="S42" s="774"/>
      <c r="T42" s="774"/>
      <c r="U42" s="774"/>
      <c r="V42" s="774"/>
      <c r="W42" s="774">
        <v>4401239</v>
      </c>
      <c r="X42" s="774">
        <v>2808265</v>
      </c>
      <c r="Y42" s="774">
        <v>11235562</v>
      </c>
      <c r="Z42" s="774">
        <v>8648327</v>
      </c>
      <c r="AA42" s="791"/>
      <c r="AB42" s="791"/>
      <c r="AC42" s="774">
        <v>304895</v>
      </c>
      <c r="AD42" s="774">
        <v>131812</v>
      </c>
      <c r="AE42" s="793"/>
      <c r="AF42" s="793"/>
      <c r="AG42" s="774">
        <v>1610938</v>
      </c>
      <c r="AH42" s="774">
        <v>2015583</v>
      </c>
      <c r="AI42" s="774"/>
      <c r="AJ42" s="774"/>
      <c r="AK42" s="774"/>
      <c r="AL42" s="774"/>
      <c r="AM42" s="794"/>
      <c r="AN42" s="794"/>
      <c r="AO42" s="795">
        <v>7721158</v>
      </c>
      <c r="AP42" s="795">
        <v>5288641</v>
      </c>
      <c r="AQ42" s="798"/>
      <c r="AR42" s="798"/>
      <c r="AS42" s="773">
        <v>81464</v>
      </c>
      <c r="AT42" s="773">
        <v>157306</v>
      </c>
      <c r="AU42" s="774"/>
      <c r="AV42" s="774"/>
      <c r="AW42" s="783">
        <v>18019</v>
      </c>
      <c r="AX42" s="774">
        <v>5046</v>
      </c>
    </row>
    <row r="43" spans="1:50" ht="17.25">
      <c r="A43" s="687" t="s">
        <v>404</v>
      </c>
      <c r="B43" s="780"/>
      <c r="C43" s="772"/>
      <c r="D43" s="1393"/>
      <c r="E43" s="774"/>
      <c r="F43" s="774"/>
      <c r="G43" s="783"/>
      <c r="H43" s="774"/>
      <c r="I43" s="774"/>
      <c r="J43" s="774"/>
      <c r="K43" s="774"/>
      <c r="L43" s="774"/>
      <c r="M43" s="786"/>
      <c r="N43" s="786"/>
      <c r="O43" s="774"/>
      <c r="P43" s="774"/>
      <c r="Q43" s="789"/>
      <c r="R43" s="789"/>
      <c r="S43" s="774"/>
      <c r="T43" s="774"/>
      <c r="U43" s="774"/>
      <c r="V43" s="774"/>
      <c r="W43" s="774"/>
      <c r="X43" s="774"/>
      <c r="Y43" s="774"/>
      <c r="Z43" s="774"/>
      <c r="AA43" s="791"/>
      <c r="AB43" s="791"/>
      <c r="AC43" s="774"/>
      <c r="AD43" s="774"/>
      <c r="AE43" s="793">
        <v>3046937</v>
      </c>
      <c r="AF43" s="793">
        <v>246184</v>
      </c>
      <c r="AG43" s="774"/>
      <c r="AH43" s="774"/>
      <c r="AI43" s="774"/>
      <c r="AJ43" s="774"/>
      <c r="AK43" s="774"/>
      <c r="AL43" s="774"/>
      <c r="AM43" s="794"/>
      <c r="AN43" s="794"/>
      <c r="AO43" s="795"/>
      <c r="AP43" s="795"/>
      <c r="AQ43" s="798"/>
      <c r="AR43" s="798"/>
      <c r="AS43" s="773">
        <v>-276577</v>
      </c>
      <c r="AT43" s="773">
        <v>-184975</v>
      </c>
      <c r="AU43" s="774"/>
      <c r="AV43" s="774"/>
      <c r="AW43" s="783">
        <v>-8584821</v>
      </c>
      <c r="AX43" s="774">
        <v>-81950143</v>
      </c>
    </row>
    <row r="44" spans="1:50" ht="17.25">
      <c r="A44" s="687" t="s">
        <v>406</v>
      </c>
      <c r="B44" s="780"/>
      <c r="C44" s="772"/>
      <c r="D44" s="1393"/>
      <c r="E44" s="774"/>
      <c r="F44" s="774"/>
      <c r="G44" s="783"/>
      <c r="H44" s="774"/>
      <c r="I44" s="774">
        <v>-353794</v>
      </c>
      <c r="J44" s="774">
        <v>29170</v>
      </c>
      <c r="K44" s="774"/>
      <c r="L44" s="774"/>
      <c r="M44" s="786"/>
      <c r="N44" s="786"/>
      <c r="O44" s="774"/>
      <c r="P44" s="774"/>
      <c r="Q44" s="789"/>
      <c r="R44" s="789"/>
      <c r="S44" s="774"/>
      <c r="T44" s="774"/>
      <c r="U44" s="774"/>
      <c r="V44" s="774"/>
      <c r="W44" s="774"/>
      <c r="X44" s="774"/>
      <c r="Y44" s="774"/>
      <c r="Z44" s="774"/>
      <c r="AA44" s="791"/>
      <c r="AB44" s="791"/>
      <c r="AC44" s="774"/>
      <c r="AD44" s="774"/>
      <c r="AE44" s="793"/>
      <c r="AF44" s="793"/>
      <c r="AG44" s="774"/>
      <c r="AH44" s="774"/>
      <c r="AI44" s="774"/>
      <c r="AJ44" s="774"/>
      <c r="AK44" s="774"/>
      <c r="AL44" s="774"/>
      <c r="AM44" s="794"/>
      <c r="AN44" s="794"/>
      <c r="AO44" s="795"/>
      <c r="AP44" s="795"/>
      <c r="AQ44" s="798"/>
      <c r="AR44" s="798"/>
      <c r="AS44" s="773"/>
      <c r="AT44" s="773"/>
      <c r="AU44" s="774"/>
      <c r="AV44" s="774"/>
      <c r="AW44" s="783"/>
      <c r="AX44" s="774"/>
    </row>
    <row r="45" spans="1:50" s="1703" customFormat="1" ht="18">
      <c r="A45" s="1691" t="s">
        <v>367</v>
      </c>
      <c r="B45" s="1692"/>
      <c r="C45" s="1693">
        <v>16866652</v>
      </c>
      <c r="D45" s="1694">
        <v>14542249</v>
      </c>
      <c r="E45" s="1695">
        <v>1006933</v>
      </c>
      <c r="F45" s="1695">
        <v>979818</v>
      </c>
      <c r="G45" s="1696">
        <v>2676319</v>
      </c>
      <c r="H45" s="1695">
        <v>3083852</v>
      </c>
      <c r="I45" s="1695">
        <v>18341897</v>
      </c>
      <c r="J45" s="1695">
        <v>20511069</v>
      </c>
      <c r="K45" s="1695">
        <v>3309313</v>
      </c>
      <c r="L45" s="1695">
        <v>2985156</v>
      </c>
      <c r="M45" s="1697">
        <v>9182224</v>
      </c>
      <c r="N45" s="1697">
        <v>8094529</v>
      </c>
      <c r="O45" s="1695">
        <v>2438957</v>
      </c>
      <c r="P45" s="1695">
        <v>2895704</v>
      </c>
      <c r="Q45" s="1698">
        <v>1479545</v>
      </c>
      <c r="R45" s="1698">
        <v>1137922</v>
      </c>
      <c r="S45" s="1695">
        <v>6683508</v>
      </c>
      <c r="T45" s="1695">
        <v>5208471</v>
      </c>
      <c r="U45" s="1695">
        <v>1690216</v>
      </c>
      <c r="V45" s="1695">
        <v>1170526</v>
      </c>
      <c r="W45" s="1695">
        <v>87814134</v>
      </c>
      <c r="X45" s="1695">
        <v>54833138</v>
      </c>
      <c r="Y45" s="1695">
        <v>68759393</v>
      </c>
      <c r="Z45" s="1695">
        <v>65196193</v>
      </c>
      <c r="AA45" s="1699">
        <v>3231168</v>
      </c>
      <c r="AB45" s="1699">
        <v>2968375</v>
      </c>
      <c r="AC45" s="1695">
        <v>8247685</v>
      </c>
      <c r="AD45" s="1695">
        <v>6564992</v>
      </c>
      <c r="AE45" s="1695">
        <v>17162826</v>
      </c>
      <c r="AF45" s="1695">
        <v>10689217</v>
      </c>
      <c r="AG45" s="1695">
        <v>30908538</v>
      </c>
      <c r="AH45" s="1695">
        <v>27868423</v>
      </c>
      <c r="AI45" s="1695">
        <v>9303556</v>
      </c>
      <c r="AJ45" s="1695">
        <v>9062888</v>
      </c>
      <c r="AK45" s="1695">
        <v>8684167</v>
      </c>
      <c r="AL45" s="1695">
        <v>9216195</v>
      </c>
      <c r="AM45" s="1700"/>
      <c r="AN45" s="1700"/>
      <c r="AO45" s="1701">
        <v>83101631</v>
      </c>
      <c r="AP45" s="1701">
        <v>56559028</v>
      </c>
      <c r="AQ45" s="1702">
        <v>1768406</v>
      </c>
      <c r="AR45" s="1702">
        <v>2114645</v>
      </c>
      <c r="AS45" s="1699">
        <v>3688641</v>
      </c>
      <c r="AT45" s="1699">
        <v>3047550</v>
      </c>
      <c r="AU45" s="1695">
        <v>15956370</v>
      </c>
      <c r="AV45" s="1695">
        <v>9453614</v>
      </c>
      <c r="AW45" s="1696">
        <v>1332927226</v>
      </c>
      <c r="AX45" s="1695">
        <v>1021297938</v>
      </c>
    </row>
    <row r="46" spans="1:50" s="1703" customFormat="1" ht="18">
      <c r="A46" s="1691" t="s">
        <v>368</v>
      </c>
      <c r="B46" s="1692"/>
      <c r="C46" s="1693">
        <v>591507</v>
      </c>
      <c r="D46" s="1694">
        <v>625561</v>
      </c>
      <c r="E46" s="1695">
        <v>23676</v>
      </c>
      <c r="F46" s="1695">
        <v>17776</v>
      </c>
      <c r="G46" s="1696">
        <v>137798</v>
      </c>
      <c r="H46" s="1695">
        <v>71462</v>
      </c>
      <c r="I46" s="1695">
        <v>860517</v>
      </c>
      <c r="J46" s="1695">
        <v>1202422</v>
      </c>
      <c r="K46" s="1695">
        <v>-237821</v>
      </c>
      <c r="L46" s="1695">
        <v>-98330</v>
      </c>
      <c r="M46" s="1697">
        <v>333477</v>
      </c>
      <c r="N46" s="1697">
        <v>160615</v>
      </c>
      <c r="O46" s="1695">
        <v>433906</v>
      </c>
      <c r="P46" s="1695">
        <v>1146303</v>
      </c>
      <c r="Q46" s="1698">
        <v>162968</v>
      </c>
      <c r="R46" s="1698">
        <v>6320</v>
      </c>
      <c r="S46" s="1695">
        <v>60623</v>
      </c>
      <c r="T46" s="1695">
        <v>4355</v>
      </c>
      <c r="U46" s="1695">
        <v>177342</v>
      </c>
      <c r="V46" s="1695">
        <v>14613</v>
      </c>
      <c r="W46" s="1695">
        <v>3784744</v>
      </c>
      <c r="X46" s="1695">
        <v>3388525</v>
      </c>
      <c r="Y46" s="1695">
        <v>4512186</v>
      </c>
      <c r="Z46" s="1695">
        <v>3314597</v>
      </c>
      <c r="AA46" s="1699">
        <v>451108</v>
      </c>
      <c r="AB46" s="1699">
        <v>305563</v>
      </c>
      <c r="AC46" s="1695">
        <v>172572</v>
      </c>
      <c r="AD46" s="1695">
        <v>168487</v>
      </c>
      <c r="AE46" s="1695">
        <v>1232108</v>
      </c>
      <c r="AF46" s="1695">
        <v>908797</v>
      </c>
      <c r="AG46" s="1695">
        <v>1405908</v>
      </c>
      <c r="AH46" s="1695">
        <v>1447951</v>
      </c>
      <c r="AI46" s="1695">
        <v>735701</v>
      </c>
      <c r="AJ46" s="1695">
        <v>507382</v>
      </c>
      <c r="AK46" s="1695">
        <v>723389</v>
      </c>
      <c r="AL46" s="1695">
        <v>378175</v>
      </c>
      <c r="AM46" s="1700"/>
      <c r="AN46" s="1700"/>
      <c r="AO46" s="1701">
        <v>2780367</v>
      </c>
      <c r="AP46" s="1701">
        <v>3163796</v>
      </c>
      <c r="AQ46" s="1702">
        <v>87785</v>
      </c>
      <c r="AR46" s="1702">
        <v>57733</v>
      </c>
      <c r="AS46" s="1699">
        <v>-14774</v>
      </c>
      <c r="AT46" s="1699">
        <v>57880</v>
      </c>
      <c r="AU46" s="1695">
        <v>49820</v>
      </c>
      <c r="AV46" s="1695">
        <v>607570</v>
      </c>
      <c r="AW46" s="1696"/>
      <c r="AX46" s="1695"/>
    </row>
    <row r="47" spans="1:50" ht="16.5">
      <c r="A47" s="775" t="s">
        <v>455</v>
      </c>
      <c r="B47" s="780"/>
      <c r="C47" s="772"/>
      <c r="D47" s="1393"/>
      <c r="E47" s="773"/>
      <c r="F47" s="773"/>
      <c r="G47" s="782"/>
      <c r="H47" s="773"/>
      <c r="I47" s="773">
        <v>49938</v>
      </c>
      <c r="J47" s="773">
        <v>128747</v>
      </c>
      <c r="K47" s="773"/>
      <c r="L47" s="773"/>
      <c r="M47" s="785"/>
      <c r="N47" s="785"/>
      <c r="O47" s="773"/>
      <c r="P47" s="773"/>
      <c r="Q47" s="789"/>
      <c r="R47" s="789"/>
      <c r="S47" s="773"/>
      <c r="T47" s="773"/>
      <c r="U47" s="773"/>
      <c r="V47" s="773"/>
      <c r="W47" s="773"/>
      <c r="X47" s="773"/>
      <c r="Y47" s="773">
        <v>-291370</v>
      </c>
      <c r="Z47" s="773">
        <v>-305718</v>
      </c>
      <c r="AA47" s="792">
        <v>15751</v>
      </c>
      <c r="AB47" s="792"/>
      <c r="AC47" s="773"/>
      <c r="AD47" s="773"/>
      <c r="AE47" s="773"/>
      <c r="AF47" s="773"/>
      <c r="AG47" s="773"/>
      <c r="AH47" s="773"/>
      <c r="AI47" s="773"/>
      <c r="AJ47" s="773"/>
      <c r="AK47" s="773"/>
      <c r="AL47" s="773"/>
      <c r="AM47" s="794"/>
      <c r="AN47" s="794"/>
      <c r="AO47" s="796"/>
      <c r="AP47" s="796"/>
      <c r="AQ47" s="798"/>
      <c r="AR47" s="798"/>
      <c r="AS47" s="792"/>
      <c r="AT47" s="792"/>
      <c r="AU47" s="773"/>
      <c r="AV47" s="773"/>
      <c r="AW47" s="782"/>
      <c r="AX47" s="773"/>
    </row>
    <row r="48" spans="1:50" ht="16.5">
      <c r="A48" s="775" t="s">
        <v>369</v>
      </c>
      <c r="B48" s="780"/>
      <c r="C48" s="771"/>
      <c r="D48" s="1392"/>
      <c r="E48" s="773"/>
      <c r="F48" s="773"/>
      <c r="G48" s="782"/>
      <c r="H48" s="773"/>
      <c r="I48" s="773"/>
      <c r="J48" s="773"/>
      <c r="K48" s="773"/>
      <c r="L48" s="773"/>
      <c r="M48" s="785"/>
      <c r="N48" s="785"/>
      <c r="O48" s="773"/>
      <c r="P48" s="773"/>
      <c r="Q48" s="788"/>
      <c r="R48" s="788"/>
      <c r="S48" s="773"/>
      <c r="T48" s="773"/>
      <c r="U48" s="773"/>
      <c r="V48" s="773"/>
      <c r="W48" s="773"/>
      <c r="X48" s="773"/>
      <c r="Y48" s="773"/>
      <c r="Z48" s="773"/>
      <c r="AA48" s="792"/>
      <c r="AB48" s="792"/>
      <c r="AC48" s="773"/>
      <c r="AD48" s="773"/>
      <c r="AE48" s="773"/>
      <c r="AF48" s="773"/>
      <c r="AG48" s="773"/>
      <c r="AH48" s="773"/>
      <c r="AI48" s="773"/>
      <c r="AJ48" s="773"/>
      <c r="AK48" s="773"/>
      <c r="AL48" s="773"/>
      <c r="AM48" s="794"/>
      <c r="AN48" s="794"/>
      <c r="AO48" s="755"/>
      <c r="AP48" s="755"/>
      <c r="AQ48" s="798"/>
      <c r="AR48" s="798"/>
      <c r="AS48" s="792"/>
      <c r="AT48" s="792"/>
      <c r="AU48" s="773"/>
      <c r="AV48" s="773"/>
      <c r="AW48" s="782"/>
      <c r="AX48" s="773"/>
    </row>
    <row r="49" spans="1:50" ht="16.5">
      <c r="A49" s="775" t="s">
        <v>410</v>
      </c>
      <c r="B49" s="780"/>
      <c r="C49" s="771"/>
      <c r="D49" s="1392"/>
      <c r="E49" s="773"/>
      <c r="F49" s="773"/>
      <c r="G49" s="782"/>
      <c r="H49" s="773"/>
      <c r="I49" s="773"/>
      <c r="J49" s="773"/>
      <c r="K49" s="773"/>
      <c r="L49" s="773"/>
      <c r="M49" s="785"/>
      <c r="N49" s="785"/>
      <c r="O49" s="773"/>
      <c r="P49" s="773"/>
      <c r="Q49" s="788"/>
      <c r="R49" s="788"/>
      <c r="S49" s="773"/>
      <c r="T49" s="773"/>
      <c r="U49" s="773"/>
      <c r="V49" s="773"/>
      <c r="W49" s="773"/>
      <c r="X49" s="773"/>
      <c r="Y49" s="773"/>
      <c r="Z49" s="773"/>
      <c r="AA49" s="792"/>
      <c r="AB49" s="792"/>
      <c r="AC49" s="773"/>
      <c r="AD49" s="773"/>
      <c r="AE49" s="773"/>
      <c r="AF49" s="773"/>
      <c r="AG49" s="773"/>
      <c r="AH49" s="773"/>
      <c r="AI49" s="773"/>
      <c r="AJ49" s="773"/>
      <c r="AK49" s="773"/>
      <c r="AL49" s="773"/>
      <c r="AM49" s="794"/>
      <c r="AN49" s="794"/>
      <c r="AO49" s="755"/>
      <c r="AP49" s="755"/>
      <c r="AQ49" s="798"/>
      <c r="AR49" s="798"/>
      <c r="AS49" s="792"/>
      <c r="AT49" s="792"/>
      <c r="AU49" s="773"/>
      <c r="AV49" s="773"/>
      <c r="AW49" s="782"/>
      <c r="AX49" s="773"/>
    </row>
    <row r="50" spans="1:50" ht="16.5">
      <c r="A50" s="687" t="s">
        <v>370</v>
      </c>
      <c r="B50" s="780"/>
      <c r="C50" s="771"/>
      <c r="D50" s="1392"/>
      <c r="E50" s="773"/>
      <c r="F50" s="773"/>
      <c r="G50" s="782"/>
      <c r="H50" s="773"/>
      <c r="I50" s="773"/>
      <c r="J50" s="773"/>
      <c r="K50" s="773"/>
      <c r="L50" s="773"/>
      <c r="M50" s="785"/>
      <c r="N50" s="785"/>
      <c r="O50" s="773"/>
      <c r="P50" s="773"/>
      <c r="Q50" s="788"/>
      <c r="R50" s="788"/>
      <c r="S50" s="773"/>
      <c r="T50" s="773"/>
      <c r="U50" s="773"/>
      <c r="V50" s="773"/>
      <c r="W50" s="773"/>
      <c r="X50" s="773"/>
      <c r="Y50" s="773"/>
      <c r="Z50" s="773"/>
      <c r="AA50" s="792"/>
      <c r="AB50" s="792"/>
      <c r="AC50" s="773"/>
      <c r="AD50" s="773"/>
      <c r="AE50" s="773"/>
      <c r="AF50" s="773"/>
      <c r="AG50" s="773"/>
      <c r="AH50" s="773"/>
      <c r="AI50" s="773"/>
      <c r="AJ50" s="773"/>
      <c r="AK50" s="773"/>
      <c r="AL50" s="773"/>
      <c r="AM50" s="794"/>
      <c r="AN50" s="794"/>
      <c r="AO50" s="795"/>
      <c r="AP50" s="795"/>
      <c r="AQ50" s="798"/>
      <c r="AR50" s="798"/>
      <c r="AS50" s="792"/>
      <c r="AT50" s="792"/>
      <c r="AU50" s="773"/>
      <c r="AV50" s="773"/>
      <c r="AW50" s="782"/>
      <c r="AX50" s="773"/>
    </row>
    <row r="51" spans="1:50" ht="17.25">
      <c r="A51" s="775" t="s">
        <v>167</v>
      </c>
      <c r="B51" s="780"/>
      <c r="C51" s="772"/>
      <c r="D51" s="1393"/>
      <c r="E51" s="774"/>
      <c r="F51" s="774"/>
      <c r="G51" s="783"/>
      <c r="H51" s="774"/>
      <c r="I51" s="774"/>
      <c r="J51" s="774"/>
      <c r="K51" s="774"/>
      <c r="L51" s="774"/>
      <c r="M51" s="786"/>
      <c r="N51" s="786"/>
      <c r="O51" s="774"/>
      <c r="P51" s="774"/>
      <c r="Q51" s="789"/>
      <c r="R51" s="789"/>
      <c r="S51" s="774"/>
      <c r="T51" s="774"/>
      <c r="U51" s="774"/>
      <c r="V51" s="774"/>
      <c r="W51" s="774"/>
      <c r="X51" s="774"/>
      <c r="Y51" s="774"/>
      <c r="Z51" s="774"/>
      <c r="AA51" s="773"/>
      <c r="AB51" s="773"/>
      <c r="AC51" s="774"/>
      <c r="AD51" s="774"/>
      <c r="AE51" s="793"/>
      <c r="AF51" s="793"/>
      <c r="AG51" s="774"/>
      <c r="AH51" s="774"/>
      <c r="AI51" s="774"/>
      <c r="AJ51" s="774"/>
      <c r="AK51" s="774"/>
      <c r="AL51" s="774"/>
      <c r="AM51" s="794"/>
      <c r="AN51" s="794"/>
      <c r="AO51" s="755"/>
      <c r="AP51" s="755"/>
      <c r="AQ51" s="798"/>
      <c r="AR51" s="798"/>
      <c r="AS51" s="773"/>
      <c r="AT51" s="773"/>
      <c r="AU51" s="774"/>
      <c r="AV51" s="774"/>
      <c r="AW51" s="783"/>
      <c r="AX51" s="774"/>
    </row>
    <row r="52" spans="1:50" ht="16.5">
      <c r="A52" s="687" t="s">
        <v>371</v>
      </c>
      <c r="B52" s="780"/>
      <c r="C52" s="771">
        <v>579695</v>
      </c>
      <c r="D52" s="1392">
        <v>608672</v>
      </c>
      <c r="E52" s="773"/>
      <c r="F52" s="773"/>
      <c r="G52" s="782"/>
      <c r="H52" s="773"/>
      <c r="I52" s="773">
        <v>48519</v>
      </c>
      <c r="J52" s="773">
        <v>310164</v>
      </c>
      <c r="K52" s="773">
        <v>-394968</v>
      </c>
      <c r="L52" s="773">
        <v>-182388</v>
      </c>
      <c r="M52" s="785"/>
      <c r="N52" s="785"/>
      <c r="O52" s="773">
        <v>475635</v>
      </c>
      <c r="P52" s="773">
        <v>1106483</v>
      </c>
      <c r="Q52" s="790">
        <v>161439</v>
      </c>
      <c r="R52" s="790">
        <v>3362</v>
      </c>
      <c r="S52" s="773"/>
      <c r="T52" s="773"/>
      <c r="U52" s="773"/>
      <c r="V52" s="773"/>
      <c r="W52" s="773">
        <v>3503306</v>
      </c>
      <c r="X52" s="773">
        <v>3199702</v>
      </c>
      <c r="Y52" s="773">
        <v>3688798</v>
      </c>
      <c r="Z52" s="773">
        <v>2464296</v>
      </c>
      <c r="AA52" s="792"/>
      <c r="AB52" s="792"/>
      <c r="AC52" s="773">
        <v>55024</v>
      </c>
      <c r="AD52" s="773">
        <v>37734</v>
      </c>
      <c r="AE52" s="773"/>
      <c r="AF52" s="773"/>
      <c r="AG52" s="773">
        <v>583415</v>
      </c>
      <c r="AH52" s="773">
        <v>430553</v>
      </c>
      <c r="AI52" s="773">
        <v>107144</v>
      </c>
      <c r="AJ52" s="773">
        <v>298115</v>
      </c>
      <c r="AK52" s="773"/>
      <c r="AL52" s="773"/>
      <c r="AM52" s="794"/>
      <c r="AN52" s="794"/>
      <c r="AO52" s="795">
        <v>2154956</v>
      </c>
      <c r="AP52" s="795">
        <v>2424264</v>
      </c>
      <c r="AQ52" s="798"/>
      <c r="AR52" s="798"/>
      <c r="AS52" s="792">
        <v>219563</v>
      </c>
      <c r="AT52" s="792">
        <v>132895</v>
      </c>
      <c r="AU52" s="773"/>
      <c r="AV52" s="773"/>
      <c r="AW52" s="782"/>
      <c r="AX52" s="773"/>
    </row>
    <row r="53" spans="1:50" ht="16.5">
      <c r="A53" s="687" t="s">
        <v>402</v>
      </c>
      <c r="B53" s="780"/>
      <c r="C53" s="771"/>
      <c r="D53" s="1392"/>
      <c r="E53" s="773">
        <v>-66145</v>
      </c>
      <c r="F53" s="773">
        <v>-52851</v>
      </c>
      <c r="G53" s="782">
        <v>109308</v>
      </c>
      <c r="H53" s="773">
        <v>68334</v>
      </c>
      <c r="I53" s="773"/>
      <c r="J53" s="773"/>
      <c r="K53" s="773"/>
      <c r="L53" s="773"/>
      <c r="M53" s="785">
        <v>213236</v>
      </c>
      <c r="N53" s="785">
        <v>126551</v>
      </c>
      <c r="O53" s="773"/>
      <c r="P53" s="773"/>
      <c r="Q53" s="790"/>
      <c r="R53" s="790"/>
      <c r="S53" s="773">
        <v>60623</v>
      </c>
      <c r="T53" s="773">
        <v>4355</v>
      </c>
      <c r="U53" s="773">
        <v>149903</v>
      </c>
      <c r="V53" s="773">
        <v>177</v>
      </c>
      <c r="W53" s="773"/>
      <c r="X53" s="773"/>
      <c r="Y53" s="773"/>
      <c r="Z53" s="773"/>
      <c r="AA53" s="792">
        <v>-425</v>
      </c>
      <c r="AB53" s="792">
        <v>-34081</v>
      </c>
      <c r="AC53" s="773"/>
      <c r="AD53" s="773"/>
      <c r="AE53" s="773"/>
      <c r="AF53" s="773"/>
      <c r="AG53" s="773"/>
      <c r="AH53" s="773"/>
      <c r="AI53" s="773"/>
      <c r="AJ53" s="773"/>
      <c r="AK53" s="773"/>
      <c r="AL53" s="773"/>
      <c r="AM53" s="794"/>
      <c r="AN53" s="794"/>
      <c r="AO53" s="795"/>
      <c r="AP53" s="795"/>
      <c r="AQ53" s="798"/>
      <c r="AR53" s="798"/>
      <c r="AS53" s="792"/>
      <c r="AT53" s="792"/>
      <c r="AU53" s="773"/>
      <c r="AV53" s="773"/>
      <c r="AW53" s="782"/>
      <c r="AX53" s="773"/>
    </row>
    <row r="54" spans="1:50" ht="16.5">
      <c r="A54" s="687" t="s">
        <v>372</v>
      </c>
      <c r="B54" s="780"/>
      <c r="C54" s="771"/>
      <c r="D54" s="1392"/>
      <c r="E54" s="773"/>
      <c r="F54" s="773"/>
      <c r="G54" s="782"/>
      <c r="H54" s="773"/>
      <c r="I54" s="773"/>
      <c r="J54" s="773"/>
      <c r="K54" s="773"/>
      <c r="L54" s="773"/>
      <c r="M54" s="785"/>
      <c r="N54" s="785"/>
      <c r="O54" s="773"/>
      <c r="P54" s="773"/>
      <c r="Q54" s="790"/>
      <c r="R54" s="790"/>
      <c r="S54" s="773"/>
      <c r="T54" s="773"/>
      <c r="U54" s="773"/>
      <c r="V54" s="773"/>
      <c r="W54" s="773"/>
      <c r="X54" s="773"/>
      <c r="Y54" s="773"/>
      <c r="Z54" s="773"/>
      <c r="AA54" s="792"/>
      <c r="AB54" s="792"/>
      <c r="AC54" s="773"/>
      <c r="AD54" s="773"/>
      <c r="AE54" s="773"/>
      <c r="AF54" s="773"/>
      <c r="AG54" s="773"/>
      <c r="AH54" s="773"/>
      <c r="AI54" s="773"/>
      <c r="AJ54" s="773"/>
      <c r="AK54" s="773"/>
      <c r="AL54" s="773"/>
      <c r="AM54" s="794"/>
      <c r="AN54" s="794"/>
      <c r="AO54" s="755"/>
      <c r="AP54" s="755"/>
      <c r="AQ54" s="798"/>
      <c r="AR54" s="798"/>
      <c r="AS54" s="792"/>
      <c r="AT54" s="792"/>
      <c r="AU54" s="773"/>
      <c r="AV54" s="773"/>
      <c r="AW54" s="782"/>
      <c r="AX54" s="773"/>
    </row>
    <row r="55" spans="1:50" ht="16.5">
      <c r="A55" s="687" t="s">
        <v>373</v>
      </c>
      <c r="B55" s="780"/>
      <c r="C55" s="771">
        <v>11812</v>
      </c>
      <c r="D55" s="1392">
        <v>16889</v>
      </c>
      <c r="E55" s="773">
        <v>89821</v>
      </c>
      <c r="F55" s="773">
        <v>70627</v>
      </c>
      <c r="G55" s="782">
        <v>28490</v>
      </c>
      <c r="H55" s="773">
        <v>3130</v>
      </c>
      <c r="I55" s="773">
        <v>762060</v>
      </c>
      <c r="J55" s="773">
        <v>763511</v>
      </c>
      <c r="K55" s="773">
        <v>157147</v>
      </c>
      <c r="L55" s="773">
        <v>84058</v>
      </c>
      <c r="M55" s="785">
        <v>120241</v>
      </c>
      <c r="N55" s="785">
        <v>34064</v>
      </c>
      <c r="O55" s="773">
        <v>-41729</v>
      </c>
      <c r="P55" s="773">
        <v>39820</v>
      </c>
      <c r="Q55" s="790">
        <v>1529</v>
      </c>
      <c r="R55" s="790">
        <v>2958</v>
      </c>
      <c r="S55" s="773"/>
      <c r="T55" s="773"/>
      <c r="U55" s="773">
        <v>27439</v>
      </c>
      <c r="V55" s="773">
        <v>14436</v>
      </c>
      <c r="W55" s="773">
        <v>261438</v>
      </c>
      <c r="X55" s="773">
        <v>188823</v>
      </c>
      <c r="Y55" s="773">
        <v>532020</v>
      </c>
      <c r="Z55" s="773">
        <v>544575</v>
      </c>
      <c r="AA55" s="792">
        <v>435782</v>
      </c>
      <c r="AB55" s="792">
        <v>339644</v>
      </c>
      <c r="AC55" s="773">
        <v>117547</v>
      </c>
      <c r="AD55" s="773">
        <v>130752</v>
      </c>
      <c r="AE55" s="773">
        <v>1232108</v>
      </c>
      <c r="AF55" s="773">
        <v>908797</v>
      </c>
      <c r="AG55" s="773">
        <v>22497702</v>
      </c>
      <c r="AH55" s="773">
        <v>18663026</v>
      </c>
      <c r="AI55" s="773">
        <v>628557</v>
      </c>
      <c r="AJ55" s="773">
        <v>209267</v>
      </c>
      <c r="AK55" s="773">
        <v>723389</v>
      </c>
      <c r="AL55" s="773">
        <v>378175</v>
      </c>
      <c r="AM55" s="794"/>
      <c r="AN55" s="794"/>
      <c r="AO55" s="795">
        <v>3441617</v>
      </c>
      <c r="AP55" s="795">
        <v>2674324</v>
      </c>
      <c r="AQ55" s="798">
        <v>169418</v>
      </c>
      <c r="AR55" s="798">
        <v>80946</v>
      </c>
      <c r="AS55" s="792">
        <v>57910</v>
      </c>
      <c r="AT55" s="792">
        <v>92215</v>
      </c>
      <c r="AU55" s="773">
        <v>49820</v>
      </c>
      <c r="AV55" s="773">
        <v>611296</v>
      </c>
      <c r="AW55" s="782"/>
      <c r="AX55" s="773"/>
    </row>
    <row r="56" spans="1:50" s="1703" customFormat="1" ht="18">
      <c r="A56" s="1691" t="s">
        <v>456</v>
      </c>
      <c r="B56" s="1692"/>
      <c r="C56" s="1693">
        <f>C46</f>
        <v>591507</v>
      </c>
      <c r="D56" s="1693">
        <v>625561</v>
      </c>
      <c r="E56" s="1693">
        <f aca="true" t="shared" si="1" ref="E56:AU56">E46</f>
        <v>23676</v>
      </c>
      <c r="F56" s="1693">
        <f t="shared" si="1"/>
        <v>17776</v>
      </c>
      <c r="G56" s="1693">
        <f t="shared" si="1"/>
        <v>137798</v>
      </c>
      <c r="H56" s="1693">
        <v>71464</v>
      </c>
      <c r="I56" s="1693">
        <v>810579</v>
      </c>
      <c r="J56" s="1693">
        <v>1073675</v>
      </c>
      <c r="K56" s="1693">
        <f t="shared" si="1"/>
        <v>-237821</v>
      </c>
      <c r="L56" s="1693">
        <v>-98330</v>
      </c>
      <c r="M56" s="1693">
        <f t="shared" si="1"/>
        <v>333477</v>
      </c>
      <c r="N56" s="1693">
        <v>160615</v>
      </c>
      <c r="O56" s="1693">
        <f t="shared" si="1"/>
        <v>433906</v>
      </c>
      <c r="P56" s="1693">
        <v>1106483</v>
      </c>
      <c r="Q56" s="1693">
        <f t="shared" si="1"/>
        <v>162968</v>
      </c>
      <c r="R56" s="1693">
        <v>6320</v>
      </c>
      <c r="S56" s="1693">
        <f t="shared" si="1"/>
        <v>60623</v>
      </c>
      <c r="T56" s="1693">
        <f t="shared" si="1"/>
        <v>4355</v>
      </c>
      <c r="U56" s="1693">
        <f t="shared" si="1"/>
        <v>177342</v>
      </c>
      <c r="V56" s="1693">
        <f t="shared" si="1"/>
        <v>14613</v>
      </c>
      <c r="W56" s="1693">
        <f t="shared" si="1"/>
        <v>3784744</v>
      </c>
      <c r="X56" s="1693">
        <v>3388525</v>
      </c>
      <c r="Y56" s="1693">
        <v>4220818</v>
      </c>
      <c r="Z56" s="1693">
        <v>3008871</v>
      </c>
      <c r="AA56" s="1693">
        <v>435357</v>
      </c>
      <c r="AB56" s="1693">
        <v>305563</v>
      </c>
      <c r="AC56" s="1693">
        <f t="shared" si="1"/>
        <v>172572</v>
      </c>
      <c r="AD56" s="1693">
        <f t="shared" si="1"/>
        <v>168487</v>
      </c>
      <c r="AE56" s="1693">
        <f t="shared" si="1"/>
        <v>1232108</v>
      </c>
      <c r="AF56" s="1693">
        <v>908797</v>
      </c>
      <c r="AG56" s="1693">
        <f t="shared" si="1"/>
        <v>1405908</v>
      </c>
      <c r="AH56" s="1693">
        <f t="shared" si="1"/>
        <v>1447951</v>
      </c>
      <c r="AI56" s="1693">
        <f t="shared" si="1"/>
        <v>735701</v>
      </c>
      <c r="AJ56" s="1693">
        <f t="shared" si="1"/>
        <v>507382</v>
      </c>
      <c r="AK56" s="1693">
        <f t="shared" si="1"/>
        <v>723389</v>
      </c>
      <c r="AL56" s="1693">
        <f t="shared" si="1"/>
        <v>378175</v>
      </c>
      <c r="AM56" s="1693">
        <f t="shared" si="1"/>
        <v>0</v>
      </c>
      <c r="AN56" s="1693"/>
      <c r="AO56" s="1693">
        <f t="shared" si="1"/>
        <v>2780367</v>
      </c>
      <c r="AP56" s="1693">
        <f t="shared" si="1"/>
        <v>3163796</v>
      </c>
      <c r="AQ56" s="1693">
        <f t="shared" si="1"/>
        <v>87785</v>
      </c>
      <c r="AR56" s="1693">
        <f t="shared" si="1"/>
        <v>57733</v>
      </c>
      <c r="AS56" s="1693">
        <v>277472</v>
      </c>
      <c r="AT56" s="1693">
        <v>225110</v>
      </c>
      <c r="AU56" s="1693">
        <f t="shared" si="1"/>
        <v>49820</v>
      </c>
      <c r="AV56" s="1693">
        <v>611296</v>
      </c>
      <c r="AW56" s="1696"/>
      <c r="AX56" s="1695"/>
    </row>
    <row r="57" spans="1:50" ht="17.25">
      <c r="A57" s="687" t="s">
        <v>374</v>
      </c>
      <c r="B57" s="780"/>
      <c r="C57" s="772">
        <f>9779+291</f>
        <v>10070</v>
      </c>
      <c r="D57" s="1393">
        <f>8986+426</f>
        <v>9412</v>
      </c>
      <c r="E57" s="774">
        <v>394</v>
      </c>
      <c r="F57" s="774">
        <v>613</v>
      </c>
      <c r="G57" s="783">
        <v>5351</v>
      </c>
      <c r="H57" s="774">
        <v>11139</v>
      </c>
      <c r="I57" s="774">
        <v>172894</v>
      </c>
      <c r="J57" s="774">
        <v>132280</v>
      </c>
      <c r="K57" s="774"/>
      <c r="L57" s="774"/>
      <c r="M57" s="786">
        <v>4574</v>
      </c>
      <c r="N57" s="786">
        <v>1121</v>
      </c>
      <c r="O57" s="774">
        <v>47</v>
      </c>
      <c r="P57" s="774">
        <v>63</v>
      </c>
      <c r="Q57" s="163">
        <v>70</v>
      </c>
      <c r="R57" s="163">
        <v>31</v>
      </c>
      <c r="S57" s="774"/>
      <c r="T57" s="774"/>
      <c r="U57" s="774">
        <f>1850+2068</f>
        <v>3918</v>
      </c>
      <c r="V57" s="774">
        <f>1383+647</f>
        <v>2030</v>
      </c>
      <c r="W57" s="774">
        <f>162811+1303094</f>
        <v>1465905</v>
      </c>
      <c r="X57" s="774">
        <f>66564+486875</f>
        <v>553439</v>
      </c>
      <c r="Y57" s="774"/>
      <c r="Z57" s="774"/>
      <c r="AA57" s="791"/>
      <c r="AB57" s="791"/>
      <c r="AC57" s="774"/>
      <c r="AD57" s="774"/>
      <c r="AE57" s="793">
        <v>42442</v>
      </c>
      <c r="AF57" s="793">
        <v>32632</v>
      </c>
      <c r="AG57" s="774">
        <v>3489</v>
      </c>
      <c r="AH57" s="774">
        <v>2646</v>
      </c>
      <c r="AI57" s="774">
        <v>9200</v>
      </c>
      <c r="AJ57" s="774">
        <v>7560</v>
      </c>
      <c r="AK57" s="774"/>
      <c r="AL57" s="774"/>
      <c r="AM57" s="794"/>
      <c r="AN57" s="794"/>
      <c r="AO57" s="795">
        <v>66195</v>
      </c>
      <c r="AP57" s="795">
        <v>63169</v>
      </c>
      <c r="AQ57" s="798">
        <v>1225</v>
      </c>
      <c r="AR57" s="798">
        <v>18340</v>
      </c>
      <c r="AS57" s="773">
        <v>2</v>
      </c>
      <c r="AT57" s="773">
        <v>612</v>
      </c>
      <c r="AU57" s="774"/>
      <c r="AV57" s="774"/>
      <c r="AW57" s="783"/>
      <c r="AX57" s="774"/>
    </row>
    <row r="58" spans="1:50" ht="16.5">
      <c r="A58" s="687" t="s">
        <v>375</v>
      </c>
      <c r="B58" s="780"/>
      <c r="C58" s="771"/>
      <c r="D58" s="1392"/>
      <c r="E58" s="773"/>
      <c r="F58" s="773"/>
      <c r="G58" s="782"/>
      <c r="H58" s="773"/>
      <c r="I58" s="773"/>
      <c r="J58" s="773"/>
      <c r="K58" s="773"/>
      <c r="L58" s="773"/>
      <c r="M58" s="785"/>
      <c r="N58" s="785"/>
      <c r="O58" s="773"/>
      <c r="P58" s="773"/>
      <c r="Q58" s="790"/>
      <c r="R58" s="790"/>
      <c r="S58" s="773"/>
      <c r="T58" s="773"/>
      <c r="U58" s="773"/>
      <c r="V58" s="773"/>
      <c r="W58" s="773"/>
      <c r="X58" s="773"/>
      <c r="Y58" s="773"/>
      <c r="Z58" s="773"/>
      <c r="AA58" s="792"/>
      <c r="AB58" s="792"/>
      <c r="AC58" s="773"/>
      <c r="AD58" s="773"/>
      <c r="AE58" s="773"/>
      <c r="AF58" s="773"/>
      <c r="AG58" s="773">
        <v>12288547</v>
      </c>
      <c r="AH58" s="773">
        <v>10959904</v>
      </c>
      <c r="AI58" s="773"/>
      <c r="AJ58" s="773"/>
      <c r="AK58" s="773"/>
      <c r="AL58" s="773"/>
      <c r="AM58" s="794"/>
      <c r="AN58" s="794"/>
      <c r="AO58" s="755"/>
      <c r="AP58" s="755"/>
      <c r="AQ58" s="798">
        <v>711814</v>
      </c>
      <c r="AR58" s="798">
        <v>735505</v>
      </c>
      <c r="AS58" s="792"/>
      <c r="AT58" s="792"/>
      <c r="AU58" s="773"/>
      <c r="AV58" s="773"/>
      <c r="AW58" s="782"/>
      <c r="AX58" s="773"/>
    </row>
    <row r="59" spans="1:50" ht="17.25" thickBot="1">
      <c r="A59" s="1183" t="s">
        <v>376</v>
      </c>
      <c r="B59" s="1184"/>
      <c r="C59" s="1185">
        <v>591507</v>
      </c>
      <c r="D59" s="1394">
        <v>625561</v>
      </c>
      <c r="E59" s="1186">
        <v>23676</v>
      </c>
      <c r="F59" s="1186">
        <v>17776</v>
      </c>
      <c r="G59" s="1187">
        <v>137798</v>
      </c>
      <c r="H59" s="1186">
        <v>71462</v>
      </c>
      <c r="I59" s="1186">
        <v>762060</v>
      </c>
      <c r="J59" s="1186">
        <v>763511</v>
      </c>
      <c r="K59" s="1186"/>
      <c r="L59" s="1186"/>
      <c r="M59" s="1188">
        <v>333477</v>
      </c>
      <c r="N59" s="1188">
        <v>160615</v>
      </c>
      <c r="O59" s="1186">
        <v>433906</v>
      </c>
      <c r="P59" s="1186">
        <v>1146303</v>
      </c>
      <c r="Q59" s="1189">
        <v>162968</v>
      </c>
      <c r="R59" s="1189">
        <v>6320</v>
      </c>
      <c r="S59" s="1186"/>
      <c r="T59" s="1186"/>
      <c r="U59" s="1186">
        <v>177342</v>
      </c>
      <c r="V59" s="1186">
        <v>14613</v>
      </c>
      <c r="W59" s="1186">
        <v>3764744</v>
      </c>
      <c r="X59" s="1186">
        <v>3388525</v>
      </c>
      <c r="Y59" s="1186"/>
      <c r="Z59" s="1186"/>
      <c r="AA59" s="1190"/>
      <c r="AB59" s="1190"/>
      <c r="AC59" s="1186"/>
      <c r="AD59" s="1186"/>
      <c r="AE59" s="1186">
        <v>1232108</v>
      </c>
      <c r="AF59" s="1186">
        <v>908797</v>
      </c>
      <c r="AG59" s="1186">
        <v>23903610</v>
      </c>
      <c r="AH59" s="1186">
        <v>20103393</v>
      </c>
      <c r="AI59" s="1186">
        <v>735701</v>
      </c>
      <c r="AJ59" s="1186">
        <v>507382</v>
      </c>
      <c r="AK59" s="1186"/>
      <c r="AL59" s="1186"/>
      <c r="AM59" s="1191"/>
      <c r="AN59" s="1191"/>
      <c r="AO59" s="1192">
        <v>2780367</v>
      </c>
      <c r="AP59" s="1192">
        <v>3163796</v>
      </c>
      <c r="AQ59" s="1193">
        <v>87785</v>
      </c>
      <c r="AR59" s="1193">
        <v>57733</v>
      </c>
      <c r="AS59" s="1190">
        <v>-14774</v>
      </c>
      <c r="AT59" s="1190">
        <v>57880</v>
      </c>
      <c r="AU59" s="1193">
        <v>49820</v>
      </c>
      <c r="AV59" s="1193">
        <v>607570</v>
      </c>
      <c r="AW59" s="1187"/>
      <c r="AX59" s="1186"/>
    </row>
    <row r="60" spans="1:50" s="1703" customFormat="1" ht="18.75" thickBot="1">
      <c r="A60" s="1704" t="s">
        <v>377</v>
      </c>
      <c r="B60" s="1705"/>
      <c r="C60" s="1706">
        <v>601577</v>
      </c>
      <c r="D60" s="1707">
        <v>634973</v>
      </c>
      <c r="E60" s="1708">
        <v>24070</v>
      </c>
      <c r="F60" s="1708">
        <v>18389</v>
      </c>
      <c r="G60" s="1709">
        <v>143149</v>
      </c>
      <c r="H60" s="1708">
        <v>82601</v>
      </c>
      <c r="I60" s="1708">
        <v>934954</v>
      </c>
      <c r="J60" s="1708">
        <v>895791</v>
      </c>
      <c r="K60" s="1708"/>
      <c r="L60" s="1708"/>
      <c r="M60" s="1710">
        <v>338051</v>
      </c>
      <c r="N60" s="1710">
        <v>161736</v>
      </c>
      <c r="O60" s="1708">
        <v>433953</v>
      </c>
      <c r="P60" s="1708">
        <v>1146366</v>
      </c>
      <c r="Q60" s="1711">
        <v>163038</v>
      </c>
      <c r="R60" s="1711">
        <v>6351</v>
      </c>
      <c r="S60" s="1708"/>
      <c r="T60" s="1708"/>
      <c r="U60" s="1708">
        <v>181260</v>
      </c>
      <c r="V60" s="1708">
        <v>16643</v>
      </c>
      <c r="W60" s="1708">
        <v>5230649</v>
      </c>
      <c r="X60" s="1708">
        <v>3941964</v>
      </c>
      <c r="Y60" s="1708"/>
      <c r="Z60" s="1708"/>
      <c r="AA60" s="1712"/>
      <c r="AB60" s="1712"/>
      <c r="AC60" s="1708"/>
      <c r="AD60" s="1708"/>
      <c r="AE60" s="1708">
        <v>1274550</v>
      </c>
      <c r="AF60" s="1708">
        <v>941429</v>
      </c>
      <c r="AG60" s="1708">
        <v>36195646</v>
      </c>
      <c r="AH60" s="1708">
        <v>31065943</v>
      </c>
      <c r="AI60" s="1708">
        <v>744901</v>
      </c>
      <c r="AJ60" s="1708">
        <v>514942</v>
      </c>
      <c r="AK60" s="1708"/>
      <c r="AL60" s="1708"/>
      <c r="AM60" s="1713"/>
      <c r="AN60" s="1713"/>
      <c r="AO60" s="1714">
        <v>2848582</v>
      </c>
      <c r="AP60" s="1714">
        <v>3226984</v>
      </c>
      <c r="AQ60" s="1715">
        <v>800824</v>
      </c>
      <c r="AR60" s="1715">
        <v>811579</v>
      </c>
      <c r="AS60" s="1712">
        <v>-14772</v>
      </c>
      <c r="AT60" s="1712">
        <v>58492</v>
      </c>
      <c r="AU60" s="1708">
        <v>49820</v>
      </c>
      <c r="AV60" s="1708">
        <v>607570</v>
      </c>
      <c r="AW60" s="1709"/>
      <c r="AX60" s="1708"/>
    </row>
  </sheetData>
  <sheetProtection/>
  <mergeCells count="26">
    <mergeCell ref="AU2:AV2"/>
    <mergeCell ref="AW2:AX2"/>
    <mergeCell ref="AI2:AJ2"/>
    <mergeCell ref="AK2:AL2"/>
    <mergeCell ref="AM2:AN2"/>
    <mergeCell ref="AO2:AP2"/>
    <mergeCell ref="AQ2:AR2"/>
    <mergeCell ref="AS2:AT2"/>
    <mergeCell ref="Y2:Z2"/>
    <mergeCell ref="W2:X2"/>
    <mergeCell ref="U2:V2"/>
    <mergeCell ref="S2:T2"/>
    <mergeCell ref="AG2:AH2"/>
    <mergeCell ref="AE2:AF2"/>
    <mergeCell ref="AC2:AD2"/>
    <mergeCell ref="AA2:AB2"/>
    <mergeCell ref="A1:AX1"/>
    <mergeCell ref="A2:A3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A42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R6" sqref="R6"/>
    </sheetView>
  </sheetViews>
  <sheetFormatPr defaultColWidth="9.140625" defaultRowHeight="15"/>
  <cols>
    <col min="1" max="1" width="38.421875" style="821" bestFit="1" customWidth="1"/>
    <col min="2" max="5" width="18.7109375" style="144" bestFit="1" customWidth="1"/>
    <col min="6" max="19" width="19.8515625" style="144" bestFit="1" customWidth="1"/>
    <col min="20" max="20" width="19.8515625" style="748" bestFit="1" customWidth="1"/>
    <col min="21" max="25" width="19.8515625" style="144" bestFit="1" customWidth="1"/>
    <col min="26" max="26" width="19.421875" style="144" customWidth="1"/>
    <col min="27" max="27" width="19.7109375" style="748" customWidth="1"/>
    <col min="28" max="16384" width="9.140625" style="748" customWidth="1"/>
  </cols>
  <sheetData>
    <row r="1" spans="1:27" ht="57.75" thickBot="1">
      <c r="A1" s="1285" t="s">
        <v>306</v>
      </c>
      <c r="B1" s="820" t="s">
        <v>187</v>
      </c>
      <c r="C1" s="815" t="s">
        <v>188</v>
      </c>
      <c r="D1" s="815" t="s">
        <v>189</v>
      </c>
      <c r="E1" s="815" t="s">
        <v>190</v>
      </c>
      <c r="F1" s="815" t="s">
        <v>191</v>
      </c>
      <c r="G1" s="815" t="s">
        <v>192</v>
      </c>
      <c r="H1" s="815" t="s">
        <v>193</v>
      </c>
      <c r="I1" s="815" t="s">
        <v>194</v>
      </c>
      <c r="J1" s="815" t="s">
        <v>195</v>
      </c>
      <c r="K1" s="815" t="s">
        <v>196</v>
      </c>
      <c r="L1" s="815" t="s">
        <v>197</v>
      </c>
      <c r="M1" s="815" t="s">
        <v>198</v>
      </c>
      <c r="N1" s="815" t="s">
        <v>199</v>
      </c>
      <c r="O1" s="815" t="s">
        <v>200</v>
      </c>
      <c r="P1" s="684" t="s">
        <v>201</v>
      </c>
      <c r="Q1" s="815" t="s">
        <v>202</v>
      </c>
      <c r="R1" s="815" t="s">
        <v>203</v>
      </c>
      <c r="S1" s="815" t="s">
        <v>204</v>
      </c>
      <c r="T1" s="817" t="s">
        <v>205</v>
      </c>
      <c r="U1" s="818" t="s">
        <v>206</v>
      </c>
      <c r="V1" s="819" t="s">
        <v>207</v>
      </c>
      <c r="W1" s="815" t="s">
        <v>208</v>
      </c>
      <c r="X1" s="1459" t="s">
        <v>209</v>
      </c>
      <c r="Y1" s="1463" t="s">
        <v>1</v>
      </c>
      <c r="Z1" s="684" t="s">
        <v>210</v>
      </c>
      <c r="AA1" s="823" t="s">
        <v>2</v>
      </c>
    </row>
    <row r="2" spans="1:27" s="913" customFormat="1" ht="15" thickBot="1">
      <c r="A2" s="896" t="s">
        <v>0</v>
      </c>
      <c r="B2" s="912" t="s">
        <v>449</v>
      </c>
      <c r="C2" s="912" t="s">
        <v>449</v>
      </c>
      <c r="D2" s="912" t="s">
        <v>449</v>
      </c>
      <c r="E2" s="912" t="s">
        <v>449</v>
      </c>
      <c r="F2" s="912" t="s">
        <v>449</v>
      </c>
      <c r="G2" s="912" t="s">
        <v>449</v>
      </c>
      <c r="H2" s="912" t="s">
        <v>449</v>
      </c>
      <c r="I2" s="912" t="s">
        <v>449</v>
      </c>
      <c r="J2" s="912" t="s">
        <v>449</v>
      </c>
      <c r="K2" s="912" t="s">
        <v>449</v>
      </c>
      <c r="L2" s="912" t="s">
        <v>449</v>
      </c>
      <c r="M2" s="912" t="s">
        <v>449</v>
      </c>
      <c r="N2" s="912" t="s">
        <v>449</v>
      </c>
      <c r="O2" s="912" t="s">
        <v>449</v>
      </c>
      <c r="P2" s="912" t="s">
        <v>449</v>
      </c>
      <c r="Q2" s="912" t="s">
        <v>449</v>
      </c>
      <c r="R2" s="912" t="s">
        <v>449</v>
      </c>
      <c r="S2" s="912" t="s">
        <v>449</v>
      </c>
      <c r="T2" s="912" t="s">
        <v>449</v>
      </c>
      <c r="U2" s="912" t="s">
        <v>449</v>
      </c>
      <c r="V2" s="912" t="s">
        <v>449</v>
      </c>
      <c r="W2" s="912" t="s">
        <v>449</v>
      </c>
      <c r="X2" s="922" t="s">
        <v>449</v>
      </c>
      <c r="Y2" s="896" t="s">
        <v>449</v>
      </c>
      <c r="Z2" s="912" t="s">
        <v>449</v>
      </c>
      <c r="AA2" s="912" t="s">
        <v>449</v>
      </c>
    </row>
    <row r="3" spans="1:27" ht="14.25">
      <c r="A3" s="237" t="s">
        <v>307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814"/>
      <c r="U3" s="695"/>
      <c r="V3" s="696"/>
      <c r="W3" s="690"/>
      <c r="X3" s="1460"/>
      <c r="Y3" s="1464"/>
      <c r="Z3" s="690"/>
      <c r="AA3" s="824"/>
    </row>
    <row r="4" spans="1:27" ht="12.75">
      <c r="A4" s="750" t="s">
        <v>308</v>
      </c>
      <c r="B4" s="685"/>
      <c r="C4" s="685"/>
      <c r="D4" s="685" t="s">
        <v>407</v>
      </c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749"/>
      <c r="U4" s="142"/>
      <c r="V4" s="143"/>
      <c r="W4" s="685"/>
      <c r="X4" s="1461"/>
      <c r="Y4" s="686"/>
      <c r="Z4" s="685"/>
      <c r="AA4" s="816"/>
    </row>
    <row r="5" spans="1:27" ht="12.75">
      <c r="A5" s="140" t="s">
        <v>309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749"/>
      <c r="U5" s="142"/>
      <c r="V5" s="143"/>
      <c r="W5" s="685"/>
      <c r="X5" s="1461"/>
      <c r="Y5" s="686"/>
      <c r="Z5" s="685"/>
      <c r="AA5" s="816"/>
    </row>
    <row r="6" spans="1:27" ht="12.75">
      <c r="A6" s="140" t="s">
        <v>310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>
        <v>4</v>
      </c>
      <c r="M6" s="685"/>
      <c r="N6" s="685"/>
      <c r="O6" s="685"/>
      <c r="P6" s="685">
        <v>467317</v>
      </c>
      <c r="Q6" s="685"/>
      <c r="R6" s="685"/>
      <c r="S6" s="685"/>
      <c r="T6" s="749"/>
      <c r="U6" s="142"/>
      <c r="V6" s="143"/>
      <c r="W6" s="685"/>
      <c r="X6" s="1461"/>
      <c r="Y6" s="686">
        <f aca="true" t="shared" si="0" ref="Y6:Y42">SUM(B6:X6)</f>
        <v>467321</v>
      </c>
      <c r="Z6" s="685">
        <v>174684475</v>
      </c>
      <c r="AA6" s="685">
        <f>Y6+Z6</f>
        <v>175151796</v>
      </c>
    </row>
    <row r="7" spans="1:27" ht="12.75">
      <c r="A7" s="140" t="s">
        <v>311</v>
      </c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85"/>
      <c r="O7" s="685"/>
      <c r="P7" s="685"/>
      <c r="Q7" s="685"/>
      <c r="R7" s="685"/>
      <c r="S7" s="685"/>
      <c r="T7" s="749"/>
      <c r="U7" s="142"/>
      <c r="V7" s="143"/>
      <c r="W7" s="685"/>
      <c r="X7" s="1461"/>
      <c r="Y7" s="686">
        <f t="shared" si="0"/>
        <v>0</v>
      </c>
      <c r="Z7" s="685">
        <v>154781</v>
      </c>
      <c r="AA7" s="685">
        <f aca="true" t="shared" si="1" ref="AA7:AA42">Y7+Z7</f>
        <v>154781</v>
      </c>
    </row>
    <row r="8" spans="1:27" ht="12.75">
      <c r="A8" s="140" t="s">
        <v>312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749"/>
      <c r="U8" s="142"/>
      <c r="V8" s="143"/>
      <c r="W8" s="685"/>
      <c r="X8" s="1461"/>
      <c r="Y8" s="686">
        <f t="shared" si="0"/>
        <v>0</v>
      </c>
      <c r="Z8" s="685"/>
      <c r="AA8" s="685">
        <f t="shared" si="1"/>
        <v>0</v>
      </c>
    </row>
    <row r="9" spans="1:27" ht="12.75">
      <c r="A9" s="140" t="s">
        <v>313</v>
      </c>
      <c r="B9" s="685">
        <v>1308273</v>
      </c>
      <c r="C9" s="685">
        <v>7475</v>
      </c>
      <c r="D9" s="685"/>
      <c r="E9" s="685">
        <v>3398189</v>
      </c>
      <c r="F9" s="685">
        <v>126514</v>
      </c>
      <c r="G9" s="685">
        <v>5841</v>
      </c>
      <c r="H9" s="685">
        <v>223249</v>
      </c>
      <c r="I9" s="685">
        <v>58081</v>
      </c>
      <c r="J9" s="685">
        <v>3881207</v>
      </c>
      <c r="K9" s="685">
        <v>111851</v>
      </c>
      <c r="L9" s="685">
        <v>1158421</v>
      </c>
      <c r="M9" s="685">
        <v>3155184</v>
      </c>
      <c r="N9" s="685">
        <v>43764</v>
      </c>
      <c r="O9" s="685">
        <v>72619</v>
      </c>
      <c r="P9" s="685">
        <v>345380</v>
      </c>
      <c r="Q9" s="685">
        <v>3569616</v>
      </c>
      <c r="R9" s="685">
        <v>485152</v>
      </c>
      <c r="S9" s="685">
        <v>383648</v>
      </c>
      <c r="T9" s="749"/>
      <c r="U9" s="142">
        <v>506340</v>
      </c>
      <c r="V9" s="143">
        <v>273618</v>
      </c>
      <c r="W9" s="685">
        <v>88470</v>
      </c>
      <c r="X9" s="1461">
        <v>3786029</v>
      </c>
      <c r="Y9" s="686">
        <f t="shared" si="0"/>
        <v>22988921</v>
      </c>
      <c r="Z9" s="685">
        <v>946092140</v>
      </c>
      <c r="AA9" s="685">
        <f t="shared" si="1"/>
        <v>969081061</v>
      </c>
    </row>
    <row r="10" spans="1:27" ht="12.75">
      <c r="A10" s="140" t="s">
        <v>314</v>
      </c>
      <c r="B10" s="685"/>
      <c r="C10" s="1005"/>
      <c r="D10" s="685"/>
      <c r="E10" s="685"/>
      <c r="F10" s="685"/>
      <c r="G10" s="685"/>
      <c r="H10" s="685"/>
      <c r="I10" s="685">
        <v>4572</v>
      </c>
      <c r="J10" s="685"/>
      <c r="K10" s="685">
        <v>3252</v>
      </c>
      <c r="L10" s="685"/>
      <c r="M10" s="685"/>
      <c r="N10" s="685"/>
      <c r="O10" s="685"/>
      <c r="P10" s="685">
        <v>100000</v>
      </c>
      <c r="Q10" s="685"/>
      <c r="R10" s="685"/>
      <c r="S10" s="685"/>
      <c r="T10" s="749"/>
      <c r="U10" s="142">
        <v>1245000</v>
      </c>
      <c r="V10" s="143"/>
      <c r="W10" s="685"/>
      <c r="X10" s="1461"/>
      <c r="Y10" s="686">
        <f t="shared" si="0"/>
        <v>1352824</v>
      </c>
      <c r="Z10" s="685">
        <f>2+53078253+8998639</f>
        <v>62076894</v>
      </c>
      <c r="AA10" s="685">
        <f t="shared" si="1"/>
        <v>63429718</v>
      </c>
    </row>
    <row r="11" spans="1:27" ht="12.75">
      <c r="A11" s="750" t="s">
        <v>315</v>
      </c>
      <c r="B11" s="685"/>
      <c r="C11" s="685">
        <v>656906</v>
      </c>
      <c r="D11" s="685"/>
      <c r="E11" s="685"/>
      <c r="F11" s="685"/>
      <c r="G11" s="685"/>
      <c r="H11" s="685"/>
      <c r="I11" s="685"/>
      <c r="J11" s="685">
        <v>1088</v>
      </c>
      <c r="K11" s="685"/>
      <c r="L11" s="685"/>
      <c r="M11" s="685"/>
      <c r="N11" s="685"/>
      <c r="O11" s="685"/>
      <c r="P11" s="685"/>
      <c r="Q11" s="685"/>
      <c r="R11" s="685"/>
      <c r="S11" s="685"/>
      <c r="T11" s="749"/>
      <c r="U11" s="142"/>
      <c r="V11" s="143"/>
      <c r="W11" s="685"/>
      <c r="X11" s="1461"/>
      <c r="Y11" s="686">
        <f t="shared" si="0"/>
        <v>657994</v>
      </c>
      <c r="Z11" s="685">
        <v>10453801</v>
      </c>
      <c r="AA11" s="685">
        <f t="shared" si="1"/>
        <v>11111795</v>
      </c>
    </row>
    <row r="12" spans="1:27" ht="12.75">
      <c r="A12" s="750" t="s">
        <v>415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749"/>
      <c r="U12" s="142"/>
      <c r="V12" s="143"/>
      <c r="W12" s="685"/>
      <c r="X12" s="1461"/>
      <c r="Y12" s="686">
        <f t="shared" si="0"/>
        <v>0</v>
      </c>
      <c r="Z12" s="685">
        <v>-134801176</v>
      </c>
      <c r="AA12" s="685"/>
    </row>
    <row r="13" spans="1:27" ht="14.25">
      <c r="A13" s="179" t="s">
        <v>54</v>
      </c>
      <c r="B13" s="685">
        <f>B9</f>
        <v>1308273</v>
      </c>
      <c r="C13" s="1005">
        <f>C9+C11</f>
        <v>664381</v>
      </c>
      <c r="D13" s="685"/>
      <c r="E13" s="685">
        <f>E9</f>
        <v>3398189</v>
      </c>
      <c r="F13" s="685">
        <f>F9</f>
        <v>126514</v>
      </c>
      <c r="G13" s="685">
        <f aca="true" t="shared" si="2" ref="G13:P13">SUM(G5:G11)</f>
        <v>5841</v>
      </c>
      <c r="H13" s="685">
        <f t="shared" si="2"/>
        <v>223249</v>
      </c>
      <c r="I13" s="685">
        <f t="shared" si="2"/>
        <v>62653</v>
      </c>
      <c r="J13" s="685">
        <f t="shared" si="2"/>
        <v>3882295</v>
      </c>
      <c r="K13" s="685">
        <f t="shared" si="2"/>
        <v>115103</v>
      </c>
      <c r="L13" s="685">
        <f t="shared" si="2"/>
        <v>1158425</v>
      </c>
      <c r="M13" s="685">
        <f t="shared" si="2"/>
        <v>3155184</v>
      </c>
      <c r="N13" s="685">
        <f t="shared" si="2"/>
        <v>43764</v>
      </c>
      <c r="O13" s="685">
        <f t="shared" si="2"/>
        <v>72619</v>
      </c>
      <c r="P13" s="685">
        <f t="shared" si="2"/>
        <v>912697</v>
      </c>
      <c r="Q13" s="685">
        <f>Q9</f>
        <v>3569616</v>
      </c>
      <c r="R13" s="685">
        <f>R9</f>
        <v>485152</v>
      </c>
      <c r="S13" s="685">
        <f>SUM(S5:S11)</f>
        <v>383648</v>
      </c>
      <c r="T13" s="749"/>
      <c r="U13" s="142">
        <f>SUM(U5:U11)</f>
        <v>1751340</v>
      </c>
      <c r="V13" s="143">
        <f>SUM(V5:V11)</f>
        <v>273618</v>
      </c>
      <c r="W13" s="685">
        <f>SUM(W5:W11)</f>
        <v>88470</v>
      </c>
      <c r="X13" s="1461">
        <f>X9</f>
        <v>3786029</v>
      </c>
      <c r="Y13" s="686">
        <f t="shared" si="0"/>
        <v>25467060</v>
      </c>
      <c r="Z13" s="685"/>
      <c r="AA13" s="685">
        <f t="shared" si="1"/>
        <v>25467060</v>
      </c>
    </row>
    <row r="14" spans="1:27" ht="14.25">
      <c r="A14" s="179" t="s">
        <v>316</v>
      </c>
      <c r="B14" s="685"/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5"/>
      <c r="S14" s="685"/>
      <c r="T14" s="749"/>
      <c r="U14" s="142"/>
      <c r="V14" s="143"/>
      <c r="W14" s="685"/>
      <c r="X14" s="1461"/>
      <c r="Y14" s="686">
        <f t="shared" si="0"/>
        <v>0</v>
      </c>
      <c r="Z14" s="685"/>
      <c r="AA14" s="685">
        <f t="shared" si="1"/>
        <v>0</v>
      </c>
    </row>
    <row r="15" spans="1:27" ht="12.75">
      <c r="A15" s="140" t="s">
        <v>317</v>
      </c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749"/>
      <c r="U15" s="142"/>
      <c r="V15" s="143"/>
      <c r="W15" s="685"/>
      <c r="X15" s="1461"/>
      <c r="Y15" s="686">
        <f t="shared" si="0"/>
        <v>0</v>
      </c>
      <c r="Z15" s="685">
        <v>32216376</v>
      </c>
      <c r="AA15" s="685">
        <f t="shared" si="1"/>
        <v>32216376</v>
      </c>
    </row>
    <row r="16" spans="1:27" ht="12.75">
      <c r="A16" s="140" t="s">
        <v>318</v>
      </c>
      <c r="B16" s="685"/>
      <c r="C16" s="1005"/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>
        <v>100000</v>
      </c>
      <c r="Q16" s="685"/>
      <c r="R16" s="685"/>
      <c r="S16" s="685"/>
      <c r="T16" s="749"/>
      <c r="U16" s="142">
        <v>1245000</v>
      </c>
      <c r="V16" s="143"/>
      <c r="W16" s="685"/>
      <c r="X16" s="1461"/>
      <c r="Y16" s="686">
        <f t="shared" si="0"/>
        <v>1345000</v>
      </c>
      <c r="Z16" s="685"/>
      <c r="AA16" s="685">
        <f t="shared" si="1"/>
        <v>1345000</v>
      </c>
    </row>
    <row r="17" spans="1:27" ht="12.75">
      <c r="A17" s="140" t="s">
        <v>319</v>
      </c>
      <c r="B17" s="685"/>
      <c r="C17" s="685"/>
      <c r="D17" s="685"/>
      <c r="E17" s="685"/>
      <c r="F17" s="685"/>
      <c r="G17" s="685"/>
      <c r="H17" s="685"/>
      <c r="I17" s="685"/>
      <c r="J17" s="685"/>
      <c r="K17" s="685"/>
      <c r="L17" s="685"/>
      <c r="M17" s="685"/>
      <c r="N17" s="685"/>
      <c r="O17" s="685"/>
      <c r="P17" s="685"/>
      <c r="Q17" s="685"/>
      <c r="R17" s="685"/>
      <c r="S17" s="685"/>
      <c r="T17" s="749"/>
      <c r="U17" s="142"/>
      <c r="V17" s="143"/>
      <c r="W17" s="685"/>
      <c r="X17" s="1461"/>
      <c r="Y17" s="686">
        <f t="shared" si="0"/>
        <v>0</v>
      </c>
      <c r="Z17" s="685"/>
      <c r="AA17" s="685">
        <f t="shared" si="1"/>
        <v>0</v>
      </c>
    </row>
    <row r="18" spans="1:27" ht="12.75">
      <c r="A18" s="140" t="s">
        <v>320</v>
      </c>
      <c r="B18" s="685"/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>
        <v>467317</v>
      </c>
      <c r="Q18" s="685"/>
      <c r="R18" s="685"/>
      <c r="S18" s="685"/>
      <c r="T18" s="749"/>
      <c r="U18" s="142"/>
      <c r="V18" s="143"/>
      <c r="W18" s="685"/>
      <c r="X18" s="1461"/>
      <c r="Y18" s="686">
        <f t="shared" si="0"/>
        <v>467317</v>
      </c>
      <c r="Z18" s="685">
        <v>157944014</v>
      </c>
      <c r="AA18" s="685">
        <f t="shared" si="1"/>
        <v>158411331</v>
      </c>
    </row>
    <row r="19" spans="1:27" ht="12.75">
      <c r="A19" s="140" t="s">
        <v>321</v>
      </c>
      <c r="B19" s="685">
        <f>B9</f>
        <v>1308273</v>
      </c>
      <c r="C19" s="685">
        <v>7475</v>
      </c>
      <c r="D19" s="685"/>
      <c r="E19" s="685">
        <f>E9</f>
        <v>3398189</v>
      </c>
      <c r="F19" s="685">
        <f>F9</f>
        <v>126514</v>
      </c>
      <c r="G19" s="685"/>
      <c r="H19" s="685">
        <v>223249</v>
      </c>
      <c r="I19" s="685">
        <f>I9</f>
        <v>58081</v>
      </c>
      <c r="J19" s="685">
        <v>3881207</v>
      </c>
      <c r="K19" s="685">
        <v>111851</v>
      </c>
      <c r="L19" s="685">
        <v>1158421</v>
      </c>
      <c r="M19" s="685">
        <f>M13</f>
        <v>3155184</v>
      </c>
      <c r="N19" s="685">
        <f>N13</f>
        <v>43764</v>
      </c>
      <c r="O19" s="685">
        <f>O13</f>
        <v>72619</v>
      </c>
      <c r="P19" s="685">
        <v>345380</v>
      </c>
      <c r="Q19" s="685">
        <f>Q13</f>
        <v>3569616</v>
      </c>
      <c r="R19" s="685">
        <f>R9</f>
        <v>485152</v>
      </c>
      <c r="S19" s="685">
        <f>S13</f>
        <v>383648</v>
      </c>
      <c r="T19" s="749"/>
      <c r="U19" s="142">
        <v>506340</v>
      </c>
      <c r="V19" s="143">
        <v>273618</v>
      </c>
      <c r="W19" s="685">
        <f>W13</f>
        <v>88470</v>
      </c>
      <c r="X19" s="1461">
        <f>X9</f>
        <v>3786029</v>
      </c>
      <c r="Y19" s="686">
        <f t="shared" si="0"/>
        <v>22983080</v>
      </c>
      <c r="Z19" s="685">
        <v>946092140</v>
      </c>
      <c r="AA19" s="685">
        <f t="shared" si="1"/>
        <v>969075220</v>
      </c>
    </row>
    <row r="20" spans="1:27" ht="12.75">
      <c r="A20" s="140" t="s">
        <v>322</v>
      </c>
      <c r="B20" s="685"/>
      <c r="C20" s="685">
        <v>656806</v>
      </c>
      <c r="D20" s="685"/>
      <c r="E20" s="685"/>
      <c r="F20" s="685"/>
      <c r="G20" s="685"/>
      <c r="H20" s="685"/>
      <c r="I20" s="685">
        <f>I10</f>
        <v>4572</v>
      </c>
      <c r="J20" s="685">
        <v>1088</v>
      </c>
      <c r="K20" s="685">
        <v>3252</v>
      </c>
      <c r="L20" s="685">
        <v>4</v>
      </c>
      <c r="M20" s="685"/>
      <c r="N20" s="685"/>
      <c r="O20" s="685"/>
      <c r="P20" s="685"/>
      <c r="Q20" s="685"/>
      <c r="R20" s="685"/>
      <c r="S20" s="685"/>
      <c r="T20" s="749"/>
      <c r="U20" s="142"/>
      <c r="V20" s="143"/>
      <c r="W20" s="685"/>
      <c r="X20" s="1461"/>
      <c r="Y20" s="686">
        <f t="shared" si="0"/>
        <v>665722</v>
      </c>
      <c r="Z20" s="685">
        <f>3636017+708801+24021638+4446222+1066667+23330152+2+62</f>
        <v>57209561</v>
      </c>
      <c r="AA20" s="685">
        <f t="shared" si="1"/>
        <v>57875283</v>
      </c>
    </row>
    <row r="21" spans="1:27" ht="12.75">
      <c r="A21" s="750" t="s">
        <v>415</v>
      </c>
      <c r="B21" s="685"/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749"/>
      <c r="U21" s="142"/>
      <c r="V21" s="143"/>
      <c r="W21" s="685"/>
      <c r="X21" s="1461"/>
      <c r="Y21" s="686">
        <f t="shared" si="0"/>
        <v>0</v>
      </c>
      <c r="Z21" s="685">
        <v>-134801176</v>
      </c>
      <c r="AA21" s="685"/>
    </row>
    <row r="22" spans="1:27" ht="14.25">
      <c r="A22" s="179" t="s">
        <v>54</v>
      </c>
      <c r="B22" s="685">
        <f>B9</f>
        <v>1308273</v>
      </c>
      <c r="C22" s="1005">
        <f>C19+C20</f>
        <v>664281</v>
      </c>
      <c r="D22" s="685"/>
      <c r="E22" s="685">
        <f>E19</f>
        <v>3398189</v>
      </c>
      <c r="F22" s="685">
        <f>F9</f>
        <v>126514</v>
      </c>
      <c r="G22" s="685">
        <f>G9</f>
        <v>5841</v>
      </c>
      <c r="H22" s="685">
        <f>H19</f>
        <v>223249</v>
      </c>
      <c r="I22" s="685">
        <f>I13</f>
        <v>62653</v>
      </c>
      <c r="J22" s="685">
        <f>J13</f>
        <v>3882295</v>
      </c>
      <c r="K22" s="685">
        <f>K13</f>
        <v>115103</v>
      </c>
      <c r="L22" s="685">
        <f>L13</f>
        <v>1158425</v>
      </c>
      <c r="M22" s="685">
        <f>M13</f>
        <v>3155184</v>
      </c>
      <c r="N22" s="685">
        <f>N19</f>
        <v>43764</v>
      </c>
      <c r="O22" s="685">
        <f>O19</f>
        <v>72619</v>
      </c>
      <c r="P22" s="685">
        <f>P13</f>
        <v>912697</v>
      </c>
      <c r="Q22" s="685">
        <f>Q19</f>
        <v>3569616</v>
      </c>
      <c r="R22" s="685">
        <f>R9</f>
        <v>485152</v>
      </c>
      <c r="S22" s="685">
        <f>S19</f>
        <v>383648</v>
      </c>
      <c r="T22" s="749"/>
      <c r="U22" s="142">
        <f>U13</f>
        <v>1751340</v>
      </c>
      <c r="V22" s="143">
        <f>V9</f>
        <v>273618</v>
      </c>
      <c r="W22" s="685">
        <f>W19</f>
        <v>88470</v>
      </c>
      <c r="X22" s="1461">
        <f>X9</f>
        <v>3786029</v>
      </c>
      <c r="Y22" s="686">
        <f t="shared" si="0"/>
        <v>25466960</v>
      </c>
      <c r="Z22" s="685">
        <v>1058660915</v>
      </c>
      <c r="AA22" s="685">
        <f t="shared" si="1"/>
        <v>1084127875</v>
      </c>
    </row>
    <row r="23" spans="1:27" ht="14.25">
      <c r="A23" s="179" t="s">
        <v>323</v>
      </c>
      <c r="B23" s="685"/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749"/>
      <c r="U23" s="142"/>
      <c r="V23" s="143"/>
      <c r="W23" s="685"/>
      <c r="X23" s="1461"/>
      <c r="Y23" s="686">
        <f t="shared" si="0"/>
        <v>0</v>
      </c>
      <c r="Z23" s="685"/>
      <c r="AA23" s="685">
        <f t="shared" si="1"/>
        <v>0</v>
      </c>
    </row>
    <row r="24" spans="1:27" ht="12.75">
      <c r="A24" s="140" t="s">
        <v>324</v>
      </c>
      <c r="B24" s="685"/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5"/>
      <c r="T24" s="749"/>
      <c r="U24" s="142"/>
      <c r="V24" s="143"/>
      <c r="W24" s="685"/>
      <c r="X24" s="1461"/>
      <c r="Y24" s="686">
        <f t="shared" si="0"/>
        <v>0</v>
      </c>
      <c r="Z24" s="685"/>
      <c r="AA24" s="685">
        <f t="shared" si="1"/>
        <v>0</v>
      </c>
    </row>
    <row r="25" spans="1:27" ht="12.75">
      <c r="A25" s="140" t="s">
        <v>325</v>
      </c>
      <c r="B25" s="685">
        <f>B9</f>
        <v>1308273</v>
      </c>
      <c r="C25" s="1005">
        <f>C22</f>
        <v>664281</v>
      </c>
      <c r="D25" s="685"/>
      <c r="E25" s="685">
        <f>E22</f>
        <v>3398189</v>
      </c>
      <c r="F25" s="685">
        <f>F9</f>
        <v>126514</v>
      </c>
      <c r="G25" s="685">
        <f>G9</f>
        <v>5841</v>
      </c>
      <c r="H25" s="685">
        <f>H19</f>
        <v>223249</v>
      </c>
      <c r="I25" s="685">
        <f>I22</f>
        <v>62653</v>
      </c>
      <c r="J25" s="685">
        <f>J22</f>
        <v>3882295</v>
      </c>
      <c r="K25" s="685">
        <f>K22</f>
        <v>115103</v>
      </c>
      <c r="L25" s="685">
        <f aca="true" t="shared" si="3" ref="L25:Q25">L22</f>
        <v>1158425</v>
      </c>
      <c r="M25" s="685">
        <f t="shared" si="3"/>
        <v>3155184</v>
      </c>
      <c r="N25" s="685">
        <f t="shared" si="3"/>
        <v>43764</v>
      </c>
      <c r="O25" s="685">
        <f t="shared" si="3"/>
        <v>72619</v>
      </c>
      <c r="P25" s="685">
        <f t="shared" si="3"/>
        <v>912697</v>
      </c>
      <c r="Q25" s="685">
        <f t="shared" si="3"/>
        <v>3569616</v>
      </c>
      <c r="R25" s="685">
        <f>R9</f>
        <v>485152</v>
      </c>
      <c r="S25" s="685">
        <f>S22</f>
        <v>383648</v>
      </c>
      <c r="T25" s="749"/>
      <c r="U25" s="142">
        <f>U22</f>
        <v>1751340</v>
      </c>
      <c r="V25" s="143">
        <f>V9</f>
        <v>273618</v>
      </c>
      <c r="W25" s="685">
        <f>W22</f>
        <v>88470</v>
      </c>
      <c r="X25" s="1461">
        <f>X9</f>
        <v>3786029</v>
      </c>
      <c r="Y25" s="686">
        <f t="shared" si="0"/>
        <v>25466960</v>
      </c>
      <c r="Z25" s="685">
        <v>1050645134</v>
      </c>
      <c r="AA25" s="685">
        <f t="shared" si="1"/>
        <v>1076112094</v>
      </c>
    </row>
    <row r="26" spans="1:27" ht="12.75">
      <c r="A26" s="140" t="s">
        <v>326</v>
      </c>
      <c r="B26" s="685"/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749"/>
      <c r="U26" s="142"/>
      <c r="V26" s="143"/>
      <c r="W26" s="685"/>
      <c r="X26" s="1461"/>
      <c r="Y26" s="686">
        <f t="shared" si="0"/>
        <v>0</v>
      </c>
      <c r="Z26" s="685">
        <v>1926210</v>
      </c>
      <c r="AA26" s="685">
        <f t="shared" si="1"/>
        <v>1926210</v>
      </c>
    </row>
    <row r="27" spans="1:27" ht="12.75">
      <c r="A27" s="750" t="s">
        <v>417</v>
      </c>
      <c r="B27" s="685"/>
      <c r="C27" s="685"/>
      <c r="D27" s="685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749"/>
      <c r="U27" s="142"/>
      <c r="V27" s="143"/>
      <c r="W27" s="685"/>
      <c r="X27" s="1461"/>
      <c r="Y27" s="686">
        <f t="shared" si="0"/>
        <v>0</v>
      </c>
      <c r="Z27" s="685">
        <v>-4442069</v>
      </c>
      <c r="AA27" s="685"/>
    </row>
    <row r="28" spans="1:27" ht="12.75">
      <c r="A28" s="140" t="s">
        <v>327</v>
      </c>
      <c r="B28" s="685"/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749"/>
      <c r="U28" s="142"/>
      <c r="V28" s="143"/>
      <c r="W28" s="685"/>
      <c r="X28" s="1461"/>
      <c r="Y28" s="686">
        <f t="shared" si="0"/>
        <v>0</v>
      </c>
      <c r="Z28" s="685"/>
      <c r="AA28" s="685">
        <f t="shared" si="1"/>
        <v>0</v>
      </c>
    </row>
    <row r="29" spans="1:27" ht="12.75">
      <c r="A29" s="140" t="s">
        <v>325</v>
      </c>
      <c r="B29" s="685"/>
      <c r="C29" s="685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749"/>
      <c r="U29" s="142"/>
      <c r="V29" s="143"/>
      <c r="W29" s="685"/>
      <c r="X29" s="1461"/>
      <c r="Y29" s="686">
        <f t="shared" si="0"/>
        <v>0</v>
      </c>
      <c r="Z29" s="685">
        <v>140890747</v>
      </c>
      <c r="AA29" s="685">
        <f t="shared" si="1"/>
        <v>140890747</v>
      </c>
    </row>
    <row r="30" spans="1:27" ht="12.75">
      <c r="A30" s="140" t="s">
        <v>328</v>
      </c>
      <c r="B30" s="685"/>
      <c r="C30" s="685"/>
      <c r="D30" s="685"/>
      <c r="E30" s="685"/>
      <c r="F30" s="685"/>
      <c r="G30" s="685"/>
      <c r="H30" s="685"/>
      <c r="I30" s="685"/>
      <c r="J30" s="685"/>
      <c r="K30" s="685"/>
      <c r="L30" s="685"/>
      <c r="M30" s="685"/>
      <c r="N30" s="685"/>
      <c r="O30" s="685"/>
      <c r="P30" s="685"/>
      <c r="Q30" s="685"/>
      <c r="R30" s="685"/>
      <c r="S30" s="685"/>
      <c r="T30" s="749"/>
      <c r="U30" s="142"/>
      <c r="V30" s="143"/>
      <c r="W30" s="685"/>
      <c r="X30" s="1461"/>
      <c r="Y30" s="686">
        <f t="shared" si="0"/>
        <v>0</v>
      </c>
      <c r="Z30" s="685"/>
      <c r="AA30" s="685">
        <f t="shared" si="1"/>
        <v>0</v>
      </c>
    </row>
    <row r="31" spans="1:27" ht="12.75">
      <c r="A31" s="750" t="s">
        <v>416</v>
      </c>
      <c r="B31" s="685"/>
      <c r="C31" s="685"/>
      <c r="D31" s="685"/>
      <c r="E31" s="685"/>
      <c r="F31" s="685"/>
      <c r="G31" s="685"/>
      <c r="H31" s="685"/>
      <c r="I31" s="685"/>
      <c r="J31" s="685"/>
      <c r="K31" s="685"/>
      <c r="L31" s="685"/>
      <c r="M31" s="685"/>
      <c r="N31" s="685"/>
      <c r="O31" s="685"/>
      <c r="P31" s="685"/>
      <c r="Q31" s="685"/>
      <c r="R31" s="685"/>
      <c r="S31" s="685"/>
      <c r="T31" s="749"/>
      <c r="U31" s="142"/>
      <c r="V31" s="143"/>
      <c r="W31" s="685"/>
      <c r="X31" s="1461"/>
      <c r="Y31" s="686">
        <f t="shared" si="0"/>
        <v>0</v>
      </c>
      <c r="Z31" s="685">
        <v>-130359107</v>
      </c>
      <c r="AA31" s="685"/>
    </row>
    <row r="32" spans="1:27" ht="14.25">
      <c r="A32" s="179" t="s">
        <v>54</v>
      </c>
      <c r="B32" s="685">
        <f>B25</f>
        <v>1308273</v>
      </c>
      <c r="C32" s="1005">
        <f>C25</f>
        <v>664281</v>
      </c>
      <c r="D32" s="685"/>
      <c r="E32" s="685">
        <f>E25</f>
        <v>3398189</v>
      </c>
      <c r="F32" s="685">
        <f>F9</f>
        <v>126514</v>
      </c>
      <c r="G32" s="685">
        <f>G9</f>
        <v>5841</v>
      </c>
      <c r="H32" s="685">
        <f>H25</f>
        <v>223249</v>
      </c>
      <c r="I32" s="685">
        <f>I25</f>
        <v>62653</v>
      </c>
      <c r="J32" s="685">
        <f>J25</f>
        <v>3882295</v>
      </c>
      <c r="K32" s="685">
        <f>K22</f>
        <v>115103</v>
      </c>
      <c r="L32" s="685">
        <f aca="true" t="shared" si="4" ref="L32:Q32">L25</f>
        <v>1158425</v>
      </c>
      <c r="M32" s="685">
        <f t="shared" si="4"/>
        <v>3155184</v>
      </c>
      <c r="N32" s="685">
        <f t="shared" si="4"/>
        <v>43764</v>
      </c>
      <c r="O32" s="685">
        <f t="shared" si="4"/>
        <v>72619</v>
      </c>
      <c r="P32" s="685">
        <f t="shared" si="4"/>
        <v>912697</v>
      </c>
      <c r="Q32" s="685">
        <f t="shared" si="4"/>
        <v>3569616</v>
      </c>
      <c r="R32" s="685">
        <f>R9</f>
        <v>485152</v>
      </c>
      <c r="S32" s="685">
        <f>S25</f>
        <v>383648</v>
      </c>
      <c r="T32" s="749"/>
      <c r="U32" s="142">
        <f>U25</f>
        <v>1751340</v>
      </c>
      <c r="V32" s="143">
        <f>V9</f>
        <v>273618</v>
      </c>
      <c r="W32" s="685">
        <f>W25</f>
        <v>88470</v>
      </c>
      <c r="X32" s="1461">
        <f>X9</f>
        <v>3786029</v>
      </c>
      <c r="Y32" s="686">
        <f t="shared" si="0"/>
        <v>25466960</v>
      </c>
      <c r="Z32" s="685">
        <v>1058660915</v>
      </c>
      <c r="AA32" s="685">
        <f t="shared" si="1"/>
        <v>1084127875</v>
      </c>
    </row>
    <row r="33" spans="1:27" ht="14.25">
      <c r="A33" s="179" t="s">
        <v>329</v>
      </c>
      <c r="B33" s="685"/>
      <c r="C33" s="685"/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749"/>
      <c r="U33" s="142"/>
      <c r="V33" s="143"/>
      <c r="W33" s="685"/>
      <c r="X33" s="1461"/>
      <c r="Y33" s="686">
        <f t="shared" si="0"/>
        <v>0</v>
      </c>
      <c r="Z33" s="685"/>
      <c r="AA33" s="685">
        <f t="shared" si="1"/>
        <v>0</v>
      </c>
    </row>
    <row r="34" spans="1:27" ht="12.75">
      <c r="A34" s="140" t="s">
        <v>330</v>
      </c>
      <c r="B34" s="685"/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749"/>
      <c r="U34" s="142"/>
      <c r="V34" s="143"/>
      <c r="W34" s="685"/>
      <c r="X34" s="1461"/>
      <c r="Y34" s="686">
        <f t="shared" si="0"/>
        <v>0</v>
      </c>
      <c r="Z34" s="685"/>
      <c r="AA34" s="685"/>
    </row>
    <row r="35" spans="1:27" ht="12.75">
      <c r="A35" s="140" t="s">
        <v>419</v>
      </c>
      <c r="B35" s="1003">
        <v>6556</v>
      </c>
      <c r="C35" s="1003">
        <v>0</v>
      </c>
      <c r="D35" s="1003">
        <v>0</v>
      </c>
      <c r="E35" s="1003">
        <v>153184</v>
      </c>
      <c r="F35" s="1003">
        <v>0</v>
      </c>
      <c r="G35" s="1003">
        <v>0</v>
      </c>
      <c r="H35" s="1003">
        <v>0</v>
      </c>
      <c r="I35" s="1003">
        <v>0</v>
      </c>
      <c r="J35" s="1003">
        <v>179737</v>
      </c>
      <c r="K35" s="1003">
        <v>0</v>
      </c>
      <c r="L35" s="1003">
        <v>346998</v>
      </c>
      <c r="M35" s="1003">
        <v>35425</v>
      </c>
      <c r="N35" s="1003">
        <v>0</v>
      </c>
      <c r="O35" s="1003">
        <v>0</v>
      </c>
      <c r="P35" s="1003">
        <v>129181</v>
      </c>
      <c r="Q35" s="1003">
        <v>62062</v>
      </c>
      <c r="R35" s="1003">
        <v>46640</v>
      </c>
      <c r="S35" s="1003">
        <v>3668</v>
      </c>
      <c r="T35" s="1003">
        <v>0</v>
      </c>
      <c r="U35" s="1003">
        <v>79922</v>
      </c>
      <c r="V35" s="1003">
        <v>9481</v>
      </c>
      <c r="W35" s="1003">
        <v>0</v>
      </c>
      <c r="X35" s="1462">
        <v>0</v>
      </c>
      <c r="Y35" s="686">
        <f t="shared" si="0"/>
        <v>1052854</v>
      </c>
      <c r="Z35" s="1003">
        <v>29496844</v>
      </c>
      <c r="AA35" s="685">
        <v>30503058</v>
      </c>
    </row>
    <row r="36" spans="1:27" ht="12.75">
      <c r="A36" s="140" t="s">
        <v>418</v>
      </c>
      <c r="B36" s="1003"/>
      <c r="C36" s="1003"/>
      <c r="D36" s="1003"/>
      <c r="E36" s="1003"/>
      <c r="F36" s="1003"/>
      <c r="G36" s="1003"/>
      <c r="H36" s="1003"/>
      <c r="I36" s="1003"/>
      <c r="J36" s="1003"/>
      <c r="K36" s="1003"/>
      <c r="L36" s="1003"/>
      <c r="M36" s="1003"/>
      <c r="N36" s="1003"/>
      <c r="O36" s="1003"/>
      <c r="P36" s="1003"/>
      <c r="Q36" s="1003"/>
      <c r="R36" s="1003"/>
      <c r="S36" s="1003"/>
      <c r="T36" s="822"/>
      <c r="U36" s="1001"/>
      <c r="V36" s="1002"/>
      <c r="W36" s="1003"/>
      <c r="X36" s="1462"/>
      <c r="Y36" s="686">
        <f t="shared" si="0"/>
        <v>0</v>
      </c>
      <c r="Z36" s="1003">
        <v>47482</v>
      </c>
      <c r="AA36" s="685"/>
    </row>
    <row r="37" spans="1:27" ht="12.75">
      <c r="A37" s="342" t="s">
        <v>420</v>
      </c>
      <c r="B37" s="1003"/>
      <c r="C37" s="1003"/>
      <c r="D37" s="1003"/>
      <c r="E37" s="1003"/>
      <c r="F37" s="1003"/>
      <c r="G37" s="1003"/>
      <c r="H37" s="1003"/>
      <c r="I37" s="1003"/>
      <c r="J37" s="1003"/>
      <c r="K37" s="1003"/>
      <c r="L37" s="1003"/>
      <c r="M37" s="1003"/>
      <c r="N37" s="1003"/>
      <c r="O37" s="1003"/>
      <c r="P37" s="1003"/>
      <c r="Q37" s="1003"/>
      <c r="R37" s="1003"/>
      <c r="S37" s="1003"/>
      <c r="T37" s="822"/>
      <c r="U37" s="1001"/>
      <c r="V37" s="1002"/>
      <c r="W37" s="1003"/>
      <c r="X37" s="1462"/>
      <c r="Y37" s="686">
        <f t="shared" si="0"/>
        <v>0</v>
      </c>
      <c r="Z37" s="1003">
        <v>-25023532</v>
      </c>
      <c r="AA37" s="685"/>
    </row>
    <row r="38" spans="1:27" ht="12.75">
      <c r="A38" s="342" t="s">
        <v>331</v>
      </c>
      <c r="B38" s="1003"/>
      <c r="C38" s="1006"/>
      <c r="D38" s="1003"/>
      <c r="E38" s="1003"/>
      <c r="F38" s="1003"/>
      <c r="G38" s="1003"/>
      <c r="H38" s="1003"/>
      <c r="I38" s="1003"/>
      <c r="J38" s="1003"/>
      <c r="K38" s="1003"/>
      <c r="L38" s="1003"/>
      <c r="M38" s="1003"/>
      <c r="N38" s="1003"/>
      <c r="O38" s="1003"/>
      <c r="P38" s="1003"/>
      <c r="Q38" s="1003"/>
      <c r="R38" s="1003"/>
      <c r="S38" s="1003"/>
      <c r="T38" s="822"/>
      <c r="U38" s="1001"/>
      <c r="V38" s="1002"/>
      <c r="W38" s="1003"/>
      <c r="X38" s="1462"/>
      <c r="Y38" s="686">
        <f t="shared" si="0"/>
        <v>0</v>
      </c>
      <c r="Z38" s="1003"/>
      <c r="AA38" s="685"/>
    </row>
    <row r="39" spans="1:27" ht="12.75">
      <c r="A39" s="140" t="s">
        <v>419</v>
      </c>
      <c r="B39" s="231">
        <v>1301717</v>
      </c>
      <c r="C39" s="231">
        <v>664281</v>
      </c>
      <c r="D39" s="231">
        <v>0</v>
      </c>
      <c r="E39" s="231">
        <v>3245005</v>
      </c>
      <c r="F39" s="231">
        <v>126514</v>
      </c>
      <c r="G39" s="231">
        <v>5841</v>
      </c>
      <c r="H39" s="231">
        <v>223249</v>
      </c>
      <c r="I39" s="231">
        <v>62653</v>
      </c>
      <c r="J39" s="231">
        <v>3702558</v>
      </c>
      <c r="K39" s="231">
        <v>115103</v>
      </c>
      <c r="L39" s="231">
        <v>811427</v>
      </c>
      <c r="M39" s="231">
        <v>3119759</v>
      </c>
      <c r="N39" s="231">
        <v>43764</v>
      </c>
      <c r="O39" s="231">
        <v>72619</v>
      </c>
      <c r="P39" s="231">
        <v>783516</v>
      </c>
      <c r="Q39" s="231">
        <v>3507554</v>
      </c>
      <c r="R39" s="231">
        <v>438512</v>
      </c>
      <c r="S39" s="231">
        <v>379980</v>
      </c>
      <c r="T39" s="231">
        <v>0</v>
      </c>
      <c r="U39" s="231">
        <v>1671418</v>
      </c>
      <c r="V39" s="231">
        <v>264136</v>
      </c>
      <c r="W39" s="231">
        <v>88470</v>
      </c>
      <c r="X39" s="193">
        <v>3786029</v>
      </c>
      <c r="Y39" s="686">
        <f t="shared" si="0"/>
        <v>24414105</v>
      </c>
      <c r="Z39" s="231">
        <v>1162039037</v>
      </c>
      <c r="AA39" s="685">
        <v>1186014630</v>
      </c>
    </row>
    <row r="40" spans="1:27" ht="12.75">
      <c r="A40" s="140" t="s">
        <v>418</v>
      </c>
      <c r="B40" s="231"/>
      <c r="C40" s="13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1332"/>
      <c r="U40" s="678"/>
      <c r="V40" s="679"/>
      <c r="W40" s="231"/>
      <c r="X40" s="193"/>
      <c r="Y40" s="686">
        <f t="shared" si="0"/>
        <v>0</v>
      </c>
      <c r="Z40" s="231">
        <v>1878727</v>
      </c>
      <c r="AA40" s="685"/>
    </row>
    <row r="41" spans="1:27" ht="13.5" thickBot="1">
      <c r="A41" s="342" t="s">
        <v>421</v>
      </c>
      <c r="B41" s="231"/>
      <c r="C41" s="13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1332"/>
      <c r="U41" s="678"/>
      <c r="V41" s="679"/>
      <c r="W41" s="231"/>
      <c r="X41" s="193"/>
      <c r="Y41" s="686">
        <f t="shared" si="0"/>
        <v>0</v>
      </c>
      <c r="Z41" s="231">
        <v>-109777643</v>
      </c>
      <c r="AA41" s="685"/>
    </row>
    <row r="42" spans="1:27" s="913" customFormat="1" ht="15" thickBot="1">
      <c r="A42" s="896" t="s">
        <v>54</v>
      </c>
      <c r="B42" s="1004">
        <f>B35+B39</f>
        <v>1308273</v>
      </c>
      <c r="C42" s="1004">
        <f aca="true" t="shared" si="5" ref="C42:X42">C35+C39</f>
        <v>664281</v>
      </c>
      <c r="D42" s="1004">
        <f t="shared" si="5"/>
        <v>0</v>
      </c>
      <c r="E42" s="1004">
        <f t="shared" si="5"/>
        <v>3398189</v>
      </c>
      <c r="F42" s="1004">
        <f t="shared" si="5"/>
        <v>126514</v>
      </c>
      <c r="G42" s="1004">
        <f t="shared" si="5"/>
        <v>5841</v>
      </c>
      <c r="H42" s="1004">
        <f t="shared" si="5"/>
        <v>223249</v>
      </c>
      <c r="I42" s="1004">
        <f t="shared" si="5"/>
        <v>62653</v>
      </c>
      <c r="J42" s="1004">
        <f t="shared" si="5"/>
        <v>3882295</v>
      </c>
      <c r="K42" s="1004">
        <f t="shared" si="5"/>
        <v>115103</v>
      </c>
      <c r="L42" s="1004">
        <f t="shared" si="5"/>
        <v>1158425</v>
      </c>
      <c r="M42" s="1004">
        <f t="shared" si="5"/>
        <v>3155184</v>
      </c>
      <c r="N42" s="1004">
        <f t="shared" si="5"/>
        <v>43764</v>
      </c>
      <c r="O42" s="1004">
        <f t="shared" si="5"/>
        <v>72619</v>
      </c>
      <c r="P42" s="1004">
        <f t="shared" si="5"/>
        <v>912697</v>
      </c>
      <c r="Q42" s="1004">
        <f t="shared" si="5"/>
        <v>3569616</v>
      </c>
      <c r="R42" s="1004">
        <f t="shared" si="5"/>
        <v>485152</v>
      </c>
      <c r="S42" s="1004">
        <f t="shared" si="5"/>
        <v>383648</v>
      </c>
      <c r="T42" s="1004">
        <f t="shared" si="5"/>
        <v>0</v>
      </c>
      <c r="U42" s="1004">
        <f t="shared" si="5"/>
        <v>1751340</v>
      </c>
      <c r="V42" s="1004">
        <f t="shared" si="5"/>
        <v>273617</v>
      </c>
      <c r="W42" s="1004">
        <f t="shared" si="5"/>
        <v>88470</v>
      </c>
      <c r="X42" s="1004">
        <f t="shared" si="5"/>
        <v>3786029</v>
      </c>
      <c r="Y42" s="686">
        <f t="shared" si="0"/>
        <v>25466959</v>
      </c>
      <c r="Z42" s="1004">
        <v>1058660915</v>
      </c>
      <c r="AA42" s="685">
        <f t="shared" si="1"/>
        <v>1084127874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A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Z23" sqref="AZ23"/>
    </sheetView>
  </sheetViews>
  <sheetFormatPr defaultColWidth="9.140625" defaultRowHeight="15"/>
  <cols>
    <col min="1" max="1" width="51.57421875" style="296" customWidth="1"/>
    <col min="2" max="2" width="11.28125" style="184" customWidth="1"/>
    <col min="3" max="3" width="11.140625" style="184" bestFit="1" customWidth="1"/>
    <col min="4" max="4" width="12.421875" style="184" customWidth="1"/>
    <col min="5" max="5" width="10.00390625" style="184" bestFit="1" customWidth="1"/>
    <col min="6" max="6" width="9.7109375" style="184" bestFit="1" customWidth="1"/>
    <col min="7" max="7" width="8.7109375" style="184" bestFit="1" customWidth="1"/>
    <col min="8" max="9" width="10.00390625" style="184" bestFit="1" customWidth="1"/>
    <col min="10" max="10" width="8.7109375" style="184" bestFit="1" customWidth="1"/>
    <col min="11" max="12" width="10.00390625" style="184" bestFit="1" customWidth="1"/>
    <col min="13" max="13" width="10.00390625" style="389" bestFit="1" customWidth="1"/>
    <col min="14" max="14" width="8.7109375" style="184" bestFit="1" customWidth="1"/>
    <col min="15" max="15" width="9.57421875" style="184" customWidth="1"/>
    <col min="16" max="16" width="9.00390625" style="184" bestFit="1" customWidth="1"/>
    <col min="17" max="17" width="10.00390625" style="184" customWidth="1"/>
    <col min="18" max="18" width="9.7109375" style="184" bestFit="1" customWidth="1"/>
    <col min="19" max="19" width="8.7109375" style="184" bestFit="1" customWidth="1"/>
    <col min="20" max="20" width="9.421875" style="184" bestFit="1" customWidth="1"/>
    <col min="21" max="21" width="9.7109375" style="184" bestFit="1" customWidth="1"/>
    <col min="22" max="22" width="9.00390625" style="184" bestFit="1" customWidth="1"/>
    <col min="23" max="24" width="9.7109375" style="184" bestFit="1" customWidth="1"/>
    <col min="25" max="25" width="9.00390625" style="184" bestFit="1" customWidth="1"/>
    <col min="26" max="26" width="10.00390625" style="184" bestFit="1" customWidth="1"/>
    <col min="27" max="27" width="9.7109375" style="184" bestFit="1" customWidth="1"/>
    <col min="28" max="28" width="9.00390625" style="184" bestFit="1" customWidth="1"/>
    <col min="29" max="29" width="10.00390625" style="184" bestFit="1" customWidth="1"/>
    <col min="30" max="30" width="8.7109375" style="184" bestFit="1" customWidth="1"/>
    <col min="31" max="31" width="8.421875" style="184" bestFit="1" customWidth="1"/>
    <col min="32" max="32" width="10.28125" style="184" bestFit="1" customWidth="1"/>
    <col min="33" max="33" width="10.00390625" style="184" bestFit="1" customWidth="1"/>
    <col min="34" max="34" width="9.7109375" style="184" bestFit="1" customWidth="1"/>
    <col min="35" max="37" width="10.28125" style="184" bestFit="1" customWidth="1"/>
    <col min="38" max="38" width="10.00390625" style="184" bestFit="1" customWidth="1"/>
    <col min="39" max="39" width="8.7109375" style="184" bestFit="1" customWidth="1"/>
    <col min="40" max="40" width="10.00390625" style="184" bestFit="1" customWidth="1"/>
    <col min="41" max="41" width="9.421875" style="184" customWidth="1"/>
    <col min="42" max="42" width="9.00390625" style="184" bestFit="1" customWidth="1"/>
    <col min="43" max="43" width="8.7109375" style="184" bestFit="1" customWidth="1"/>
    <col min="44" max="44" width="10.28125" style="184" bestFit="1" customWidth="1"/>
    <col min="45" max="45" width="10.00390625" style="184" bestFit="1" customWidth="1"/>
    <col min="46" max="46" width="8.7109375" style="184" bestFit="1" customWidth="1"/>
    <col min="47" max="48" width="10.00390625" style="184" bestFit="1" customWidth="1"/>
    <col min="49" max="49" width="9.7109375" style="184" bestFit="1" customWidth="1"/>
    <col min="50" max="50" width="10.00390625" style="184" bestFit="1" customWidth="1"/>
    <col min="51" max="51" width="9.7109375" style="184" bestFit="1" customWidth="1"/>
    <col min="52" max="52" width="9.421875" style="184" bestFit="1" customWidth="1"/>
    <col min="53" max="54" width="10.00390625" style="184" bestFit="1" customWidth="1"/>
    <col min="55" max="55" width="9.00390625" style="184" bestFit="1" customWidth="1"/>
    <col min="56" max="56" width="6.57421875" style="184" bestFit="1" customWidth="1"/>
    <col min="57" max="57" width="8.57421875" style="184" customWidth="1"/>
    <col min="58" max="58" width="10.140625" style="184" customWidth="1"/>
    <col min="59" max="59" width="8.7109375" style="184" bestFit="1" customWidth="1"/>
    <col min="60" max="61" width="8.57421875" style="184" bestFit="1" customWidth="1"/>
    <col min="62" max="62" width="9.421875" style="184" bestFit="1" customWidth="1"/>
    <col min="63" max="63" width="8.7109375" style="184" bestFit="1" customWidth="1"/>
    <col min="64" max="64" width="9.00390625" style="184" bestFit="1" customWidth="1"/>
    <col min="65" max="65" width="9.7109375" style="184" bestFit="1" customWidth="1"/>
    <col min="66" max="66" width="9.140625" style="184" customWidth="1"/>
    <col min="67" max="67" width="9.57421875" style="184" customWidth="1"/>
    <col min="68" max="68" width="10.28125" style="184" customWidth="1"/>
    <col min="69" max="69" width="8.7109375" style="184" customWidth="1"/>
    <col min="70" max="70" width="10.140625" style="184" customWidth="1"/>
    <col min="71" max="71" width="12.140625" style="184" customWidth="1"/>
    <col min="72" max="72" width="11.8515625" style="184" bestFit="1" customWidth="1"/>
    <col min="73" max="73" width="14.421875" style="184" bestFit="1" customWidth="1"/>
    <col min="74" max="74" width="11.28125" style="184" bestFit="1" customWidth="1"/>
    <col min="75" max="75" width="11.57421875" style="184" bestFit="1" customWidth="1"/>
    <col min="76" max="76" width="11.421875" style="184" customWidth="1"/>
    <col min="77" max="77" width="13.00390625" style="184" customWidth="1"/>
    <col min="78" max="78" width="13.140625" style="184" customWidth="1"/>
    <col min="79" max="79" width="14.421875" style="184" bestFit="1" customWidth="1"/>
    <col min="80" max="16384" width="9.140625" style="296" customWidth="1"/>
  </cols>
  <sheetData>
    <row r="1" spans="1:78" ht="18">
      <c r="A1" s="1942" t="s">
        <v>466</v>
      </c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  <c r="X1" s="1942"/>
      <c r="Y1" s="1942"/>
      <c r="Z1" s="1942"/>
      <c r="AA1" s="1942"/>
      <c r="AB1" s="1942"/>
      <c r="AC1" s="1942"/>
      <c r="AD1" s="1942"/>
      <c r="AE1" s="1942"/>
      <c r="AF1" s="1942"/>
      <c r="AG1" s="1942"/>
      <c r="AH1" s="1942"/>
      <c r="AI1" s="1942"/>
      <c r="AJ1" s="1942"/>
      <c r="AK1" s="1942"/>
      <c r="AL1" s="1942"/>
      <c r="AM1" s="1942"/>
      <c r="AN1" s="1942"/>
      <c r="AO1" s="1942"/>
      <c r="AP1" s="1942"/>
      <c r="AQ1" s="1942"/>
      <c r="AR1" s="1942"/>
      <c r="AS1" s="1942"/>
      <c r="AT1" s="1942"/>
      <c r="AU1" s="1942"/>
      <c r="AV1" s="1942"/>
      <c r="AW1" s="1942"/>
      <c r="AX1" s="1942"/>
      <c r="AY1" s="1942"/>
      <c r="AZ1" s="1942"/>
      <c r="BA1" s="1942"/>
      <c r="BB1" s="1942"/>
      <c r="BC1" s="1942"/>
      <c r="BD1" s="1942"/>
      <c r="BE1" s="1942"/>
      <c r="BF1" s="1942"/>
      <c r="BG1" s="1942"/>
      <c r="BH1" s="1942"/>
      <c r="BI1" s="1942"/>
      <c r="BJ1" s="1942"/>
      <c r="BK1" s="1942"/>
      <c r="BL1" s="1942"/>
      <c r="BM1" s="1942"/>
      <c r="BN1" s="1942"/>
      <c r="BO1" s="1942"/>
      <c r="BP1" s="1942"/>
      <c r="BQ1" s="1942"/>
      <c r="BR1" s="1942"/>
      <c r="BS1" s="1942"/>
      <c r="BT1" s="1942"/>
      <c r="BU1" s="1942"/>
      <c r="BV1" s="1942"/>
      <c r="BW1" s="1942"/>
      <c r="BX1" s="1942"/>
      <c r="BY1" s="1942"/>
      <c r="BZ1" s="1942"/>
    </row>
    <row r="2" spans="1:78" ht="17.25" thickBot="1">
      <c r="A2" s="1990" t="s">
        <v>260</v>
      </c>
      <c r="B2" s="1990"/>
      <c r="C2" s="1990"/>
      <c r="D2" s="1990"/>
      <c r="E2" s="1990"/>
      <c r="F2" s="1990"/>
      <c r="G2" s="1990"/>
      <c r="H2" s="1990"/>
      <c r="I2" s="1990"/>
      <c r="J2" s="1990"/>
      <c r="K2" s="1990"/>
      <c r="L2" s="1990"/>
      <c r="M2" s="1990"/>
      <c r="N2" s="1990"/>
      <c r="O2" s="1990"/>
      <c r="P2" s="1990"/>
      <c r="Q2" s="1990"/>
      <c r="R2" s="1990"/>
      <c r="S2" s="1990"/>
      <c r="T2" s="1990"/>
      <c r="U2" s="1990"/>
      <c r="V2" s="1990"/>
      <c r="W2" s="1990"/>
      <c r="X2" s="1990"/>
      <c r="Y2" s="1990"/>
      <c r="Z2" s="1990"/>
      <c r="AA2" s="1990"/>
      <c r="AB2" s="1990"/>
      <c r="AC2" s="1990"/>
      <c r="AD2" s="1990"/>
      <c r="AE2" s="1990"/>
      <c r="AF2" s="1990"/>
      <c r="AG2" s="1990"/>
      <c r="AH2" s="1990"/>
      <c r="AI2" s="1990"/>
      <c r="AJ2" s="1990"/>
      <c r="AK2" s="1990"/>
      <c r="AL2" s="1990"/>
      <c r="AM2" s="1990"/>
      <c r="AN2" s="1990"/>
      <c r="AO2" s="1990"/>
      <c r="AP2" s="1990"/>
      <c r="AQ2" s="1990"/>
      <c r="AR2" s="1990"/>
      <c r="AS2" s="1990"/>
      <c r="AT2" s="1990"/>
      <c r="AU2" s="1990"/>
      <c r="AV2" s="1990"/>
      <c r="AW2" s="1990"/>
      <c r="AX2" s="1990"/>
      <c r="AY2" s="1990"/>
      <c r="AZ2" s="1990"/>
      <c r="BA2" s="1990"/>
      <c r="BB2" s="1990"/>
      <c r="BC2" s="1990"/>
      <c r="BD2" s="1990"/>
      <c r="BE2" s="1990"/>
      <c r="BF2" s="1990"/>
      <c r="BG2" s="1990"/>
      <c r="BH2" s="1990"/>
      <c r="BI2" s="1990"/>
      <c r="BJ2" s="1990"/>
      <c r="BK2" s="1990"/>
      <c r="BL2" s="1990"/>
      <c r="BM2" s="1990"/>
      <c r="BN2" s="1990"/>
      <c r="BO2" s="1990"/>
      <c r="BP2" s="1990"/>
      <c r="BQ2" s="1990"/>
      <c r="BR2" s="1990"/>
      <c r="BS2" s="1990"/>
      <c r="BT2" s="1990"/>
      <c r="BU2" s="1990"/>
      <c r="BV2" s="1990"/>
      <c r="BW2" s="1990"/>
      <c r="BX2" s="1990"/>
      <c r="BY2" s="1990"/>
      <c r="BZ2" s="1990"/>
    </row>
    <row r="3" spans="1:79" s="1485" customFormat="1" ht="59.25" customHeight="1">
      <c r="A3" s="1484"/>
      <c r="B3" s="1981" t="s">
        <v>187</v>
      </c>
      <c r="C3" s="1982"/>
      <c r="D3" s="1983"/>
      <c r="E3" s="1988" t="s">
        <v>188</v>
      </c>
      <c r="F3" s="1982"/>
      <c r="G3" s="1983"/>
      <c r="H3" s="1988" t="s">
        <v>189</v>
      </c>
      <c r="I3" s="1982"/>
      <c r="J3" s="1983"/>
      <c r="K3" s="1988" t="s">
        <v>190</v>
      </c>
      <c r="L3" s="1982"/>
      <c r="M3" s="1983"/>
      <c r="N3" s="1988" t="s">
        <v>191</v>
      </c>
      <c r="O3" s="1982"/>
      <c r="P3" s="1983"/>
      <c r="Q3" s="1988" t="s">
        <v>192</v>
      </c>
      <c r="R3" s="1982"/>
      <c r="S3" s="1983"/>
      <c r="T3" s="1981" t="s">
        <v>193</v>
      </c>
      <c r="U3" s="1982"/>
      <c r="V3" s="1983"/>
      <c r="W3" s="1988" t="s">
        <v>194</v>
      </c>
      <c r="X3" s="1982"/>
      <c r="Y3" s="1983"/>
      <c r="Z3" s="1988" t="s">
        <v>195</v>
      </c>
      <c r="AA3" s="1982"/>
      <c r="AB3" s="1983"/>
      <c r="AC3" s="1988" t="s">
        <v>196</v>
      </c>
      <c r="AD3" s="1982"/>
      <c r="AE3" s="1983"/>
      <c r="AF3" s="1988" t="s">
        <v>197</v>
      </c>
      <c r="AG3" s="1982"/>
      <c r="AH3" s="1983"/>
      <c r="AI3" s="1988" t="s">
        <v>198</v>
      </c>
      <c r="AJ3" s="1982"/>
      <c r="AK3" s="1983"/>
      <c r="AL3" s="1988" t="s">
        <v>199</v>
      </c>
      <c r="AM3" s="1982"/>
      <c r="AN3" s="1983"/>
      <c r="AO3" s="1988" t="s">
        <v>200</v>
      </c>
      <c r="AP3" s="1982"/>
      <c r="AQ3" s="1983"/>
      <c r="AR3" s="1984" t="s">
        <v>201</v>
      </c>
      <c r="AS3" s="1985"/>
      <c r="AT3" s="1986"/>
      <c r="AU3" s="1988" t="s">
        <v>202</v>
      </c>
      <c r="AV3" s="1982"/>
      <c r="AW3" s="1983"/>
      <c r="AX3" s="1988" t="s">
        <v>203</v>
      </c>
      <c r="AY3" s="1982"/>
      <c r="AZ3" s="1983"/>
      <c r="BA3" s="1988" t="s">
        <v>204</v>
      </c>
      <c r="BB3" s="1982"/>
      <c r="BC3" s="1983"/>
      <c r="BD3" s="1984" t="s">
        <v>205</v>
      </c>
      <c r="BE3" s="1985"/>
      <c r="BF3" s="1986"/>
      <c r="BG3" s="1988" t="s">
        <v>206</v>
      </c>
      <c r="BH3" s="1982"/>
      <c r="BI3" s="1983"/>
      <c r="BJ3" s="1988" t="s">
        <v>207</v>
      </c>
      <c r="BK3" s="1982"/>
      <c r="BL3" s="1983"/>
      <c r="BM3" s="1988" t="s">
        <v>208</v>
      </c>
      <c r="BN3" s="1982"/>
      <c r="BO3" s="1983"/>
      <c r="BP3" s="1988" t="s">
        <v>209</v>
      </c>
      <c r="BQ3" s="1982"/>
      <c r="BR3" s="1989"/>
      <c r="BS3" s="1981" t="s">
        <v>1</v>
      </c>
      <c r="BT3" s="1982"/>
      <c r="BU3" s="1983"/>
      <c r="BV3" s="1984" t="s">
        <v>210</v>
      </c>
      <c r="BW3" s="1985"/>
      <c r="BX3" s="1986"/>
      <c r="BY3" s="1987" t="s">
        <v>2</v>
      </c>
      <c r="BZ3" s="1985"/>
      <c r="CA3" s="1986"/>
    </row>
    <row r="4" spans="1:79" s="911" customFormat="1" ht="72" thickBot="1">
      <c r="A4" s="910" t="s">
        <v>0</v>
      </c>
      <c r="B4" s="1007" t="s">
        <v>261</v>
      </c>
      <c r="C4" s="1008" t="s">
        <v>262</v>
      </c>
      <c r="D4" s="1009" t="s">
        <v>263</v>
      </c>
      <c r="E4" s="1010" t="s">
        <v>261</v>
      </c>
      <c r="F4" s="1008" t="s">
        <v>262</v>
      </c>
      <c r="G4" s="1009" t="s">
        <v>263</v>
      </c>
      <c r="H4" s="1010" t="s">
        <v>261</v>
      </c>
      <c r="I4" s="1008" t="s">
        <v>262</v>
      </c>
      <c r="J4" s="1009" t="s">
        <v>263</v>
      </c>
      <c r="K4" s="1010" t="s">
        <v>261</v>
      </c>
      <c r="L4" s="1008" t="s">
        <v>262</v>
      </c>
      <c r="M4" s="1011" t="s">
        <v>263</v>
      </c>
      <c r="N4" s="1010" t="s">
        <v>261</v>
      </c>
      <c r="O4" s="1008" t="s">
        <v>262</v>
      </c>
      <c r="P4" s="1009" t="s">
        <v>263</v>
      </c>
      <c r="Q4" s="1010" t="s">
        <v>261</v>
      </c>
      <c r="R4" s="1008" t="s">
        <v>262</v>
      </c>
      <c r="S4" s="1009" t="s">
        <v>263</v>
      </c>
      <c r="T4" s="1007" t="s">
        <v>261</v>
      </c>
      <c r="U4" s="1008" t="s">
        <v>262</v>
      </c>
      <c r="V4" s="1009" t="s">
        <v>263</v>
      </c>
      <c r="W4" s="1010" t="s">
        <v>261</v>
      </c>
      <c r="X4" s="1008" t="s">
        <v>262</v>
      </c>
      <c r="Y4" s="1009" t="s">
        <v>263</v>
      </c>
      <c r="Z4" s="1010" t="s">
        <v>261</v>
      </c>
      <c r="AA4" s="1008" t="s">
        <v>262</v>
      </c>
      <c r="AB4" s="1009" t="s">
        <v>263</v>
      </c>
      <c r="AC4" s="1010" t="s">
        <v>261</v>
      </c>
      <c r="AD4" s="1008" t="s">
        <v>262</v>
      </c>
      <c r="AE4" s="1009" t="s">
        <v>263</v>
      </c>
      <c r="AF4" s="1010" t="s">
        <v>261</v>
      </c>
      <c r="AG4" s="1008" t="s">
        <v>262</v>
      </c>
      <c r="AH4" s="1009" t="s">
        <v>263</v>
      </c>
      <c r="AI4" s="1010" t="s">
        <v>261</v>
      </c>
      <c r="AJ4" s="1008" t="s">
        <v>262</v>
      </c>
      <c r="AK4" s="1009" t="s">
        <v>263</v>
      </c>
      <c r="AL4" s="1010" t="s">
        <v>261</v>
      </c>
      <c r="AM4" s="1008" t="s">
        <v>262</v>
      </c>
      <c r="AN4" s="1009" t="s">
        <v>263</v>
      </c>
      <c r="AO4" s="1010" t="s">
        <v>261</v>
      </c>
      <c r="AP4" s="1008" t="s">
        <v>262</v>
      </c>
      <c r="AQ4" s="1009" t="s">
        <v>263</v>
      </c>
      <c r="AR4" s="1010" t="s">
        <v>261</v>
      </c>
      <c r="AS4" s="1008" t="s">
        <v>262</v>
      </c>
      <c r="AT4" s="1009" t="s">
        <v>263</v>
      </c>
      <c r="AU4" s="1010" t="s">
        <v>261</v>
      </c>
      <c r="AV4" s="1008" t="s">
        <v>262</v>
      </c>
      <c r="AW4" s="1009" t="s">
        <v>263</v>
      </c>
      <c r="AX4" s="1010" t="s">
        <v>261</v>
      </c>
      <c r="AY4" s="1008" t="s">
        <v>262</v>
      </c>
      <c r="AZ4" s="1009" t="s">
        <v>263</v>
      </c>
      <c r="BA4" s="1010" t="s">
        <v>261</v>
      </c>
      <c r="BB4" s="1008" t="s">
        <v>262</v>
      </c>
      <c r="BC4" s="1009" t="s">
        <v>263</v>
      </c>
      <c r="BD4" s="1010" t="s">
        <v>261</v>
      </c>
      <c r="BE4" s="1008" t="s">
        <v>262</v>
      </c>
      <c r="BF4" s="1009" t="s">
        <v>263</v>
      </c>
      <c r="BG4" s="1010" t="s">
        <v>261</v>
      </c>
      <c r="BH4" s="1008" t="s">
        <v>262</v>
      </c>
      <c r="BI4" s="1009" t="s">
        <v>263</v>
      </c>
      <c r="BJ4" s="1010" t="s">
        <v>261</v>
      </c>
      <c r="BK4" s="1008" t="s">
        <v>262</v>
      </c>
      <c r="BL4" s="1009" t="s">
        <v>263</v>
      </c>
      <c r="BM4" s="1010" t="s">
        <v>261</v>
      </c>
      <c r="BN4" s="1008" t="s">
        <v>262</v>
      </c>
      <c r="BO4" s="1009" t="s">
        <v>263</v>
      </c>
      <c r="BP4" s="1010" t="s">
        <v>261</v>
      </c>
      <c r="BQ4" s="1008" t="s">
        <v>262</v>
      </c>
      <c r="BR4" s="1170" t="s">
        <v>263</v>
      </c>
      <c r="BS4" s="1007" t="s">
        <v>261</v>
      </c>
      <c r="BT4" s="1008" t="s">
        <v>262</v>
      </c>
      <c r="BU4" s="1009" t="s">
        <v>263</v>
      </c>
      <c r="BV4" s="1010" t="s">
        <v>261</v>
      </c>
      <c r="BW4" s="1008" t="s">
        <v>262</v>
      </c>
      <c r="BX4" s="1009" t="s">
        <v>263</v>
      </c>
      <c r="BY4" s="1007" t="s">
        <v>261</v>
      </c>
      <c r="BZ4" s="1008" t="s">
        <v>262</v>
      </c>
      <c r="CA4" s="1009" t="s">
        <v>263</v>
      </c>
    </row>
    <row r="5" spans="1:79" ht="16.5">
      <c r="A5" s="547" t="s">
        <v>264</v>
      </c>
      <c r="B5" s="1012"/>
      <c r="C5" s="651"/>
      <c r="D5" s="652">
        <f>B5-C5</f>
        <v>0</v>
      </c>
      <c r="E5" s="1013"/>
      <c r="F5" s="1014"/>
      <c r="G5" s="1015">
        <f>E5-F5</f>
        <v>0</v>
      </c>
      <c r="H5" s="1013"/>
      <c r="I5" s="1014"/>
      <c r="J5" s="1015"/>
      <c r="K5" s="1013"/>
      <c r="L5" s="1014"/>
      <c r="M5" s="1016"/>
      <c r="N5" s="1013"/>
      <c r="O5" s="1014"/>
      <c r="P5" s="1015"/>
      <c r="Q5" s="1013"/>
      <c r="R5" s="1014"/>
      <c r="S5" s="1015"/>
      <c r="T5" s="1017"/>
      <c r="U5" s="1014"/>
      <c r="V5" s="1015"/>
      <c r="W5" s="1013"/>
      <c r="X5" s="1014"/>
      <c r="Y5" s="1015"/>
      <c r="Z5" s="1013"/>
      <c r="AA5" s="1014"/>
      <c r="AB5" s="1015"/>
      <c r="AC5" s="1013"/>
      <c r="AD5" s="1014"/>
      <c r="AE5" s="1015"/>
      <c r="AF5" s="1013"/>
      <c r="AG5" s="1014"/>
      <c r="AH5" s="1015"/>
      <c r="AI5" s="1013"/>
      <c r="AJ5" s="1014"/>
      <c r="AK5" s="1015"/>
      <c r="AL5" s="1018"/>
      <c r="AM5" s="1019"/>
      <c r="AN5" s="1020"/>
      <c r="AO5" s="1013"/>
      <c r="AP5" s="1014"/>
      <c r="AQ5" s="1015"/>
      <c r="AR5" s="1013"/>
      <c r="AS5" s="1014"/>
      <c r="AT5" s="1015"/>
      <c r="AU5" s="1013"/>
      <c r="AV5" s="1014"/>
      <c r="AW5" s="1015"/>
      <c r="AX5" s="1013">
        <v>1222774</v>
      </c>
      <c r="AY5" s="1014">
        <v>990339</v>
      </c>
      <c r="AZ5" s="1015">
        <f>AX5-AY5</f>
        <v>232435</v>
      </c>
      <c r="BA5" s="1013"/>
      <c r="BB5" s="1014"/>
      <c r="BC5" s="1015"/>
      <c r="BD5" s="1021"/>
      <c r="BE5" s="1014"/>
      <c r="BF5" s="1015"/>
      <c r="BG5" s="1022"/>
      <c r="BH5" s="298"/>
      <c r="BI5" s="292"/>
      <c r="BJ5" s="1023"/>
      <c r="BK5" s="1024"/>
      <c r="BL5" s="1016"/>
      <c r="BM5" s="1025"/>
      <c r="BN5" s="1026"/>
      <c r="BO5" s="1027"/>
      <c r="BP5" s="1013"/>
      <c r="BQ5" s="1014"/>
      <c r="BR5" s="1140"/>
      <c r="BS5" s="1017"/>
      <c r="BT5" s="1014"/>
      <c r="BU5" s="1015"/>
      <c r="BV5" s="1025">
        <v>0</v>
      </c>
      <c r="BW5" s="1026"/>
      <c r="BX5" s="1027">
        <v>0</v>
      </c>
      <c r="BY5" s="1017"/>
      <c r="BZ5" s="1014"/>
      <c r="CA5" s="1031"/>
    </row>
    <row r="6" spans="1:79" ht="16.5">
      <c r="A6" s="544" t="s">
        <v>265</v>
      </c>
      <c r="B6" s="254">
        <v>2095215</v>
      </c>
      <c r="C6" s="255">
        <v>1617688</v>
      </c>
      <c r="D6" s="652">
        <f aca="true" t="shared" si="0" ref="D6:D15">B6-C6</f>
        <v>477527</v>
      </c>
      <c r="E6" s="257">
        <v>1122980</v>
      </c>
      <c r="F6" s="258">
        <v>903725</v>
      </c>
      <c r="G6" s="1015">
        <f aca="true" t="shared" si="1" ref="G6:G17">E6-F6</f>
        <v>219255</v>
      </c>
      <c r="H6" s="257">
        <v>542098</v>
      </c>
      <c r="I6" s="258">
        <v>480351</v>
      </c>
      <c r="J6" s="259">
        <f>H6-I6</f>
        <v>61747</v>
      </c>
      <c r="K6" s="257">
        <v>366209</v>
      </c>
      <c r="L6" s="258">
        <v>248869</v>
      </c>
      <c r="M6" s="264">
        <f>K6-L6</f>
        <v>117340</v>
      </c>
      <c r="N6" s="257">
        <v>365274</v>
      </c>
      <c r="O6" s="258">
        <v>318570</v>
      </c>
      <c r="P6" s="259">
        <f>N6-O6</f>
        <v>46704</v>
      </c>
      <c r="Q6" s="257">
        <v>918130</v>
      </c>
      <c r="R6" s="259">
        <v>866364</v>
      </c>
      <c r="S6" s="259">
        <f>Q6-R6</f>
        <v>51766</v>
      </c>
      <c r="T6" s="268">
        <v>588952</v>
      </c>
      <c r="U6" s="258">
        <v>404029</v>
      </c>
      <c r="V6" s="259">
        <f>T6-U6</f>
        <v>184923</v>
      </c>
      <c r="W6" s="257">
        <v>820344</v>
      </c>
      <c r="X6" s="258">
        <v>324952</v>
      </c>
      <c r="Y6" s="259">
        <f>W6-X6</f>
        <v>495392</v>
      </c>
      <c r="Z6" s="257">
        <v>485472</v>
      </c>
      <c r="AA6" s="258">
        <v>394418</v>
      </c>
      <c r="AB6" s="259">
        <f>Z6-AA6</f>
        <v>91054</v>
      </c>
      <c r="AC6" s="257">
        <v>664023</v>
      </c>
      <c r="AD6" s="258">
        <v>400396</v>
      </c>
      <c r="AE6" s="259">
        <f>AC6-AD6</f>
        <v>263627</v>
      </c>
      <c r="AF6" s="257">
        <v>2003056</v>
      </c>
      <c r="AG6" s="258">
        <v>1616521</v>
      </c>
      <c r="AH6" s="259">
        <f>AF6-AG6</f>
        <v>386535</v>
      </c>
      <c r="AI6" s="257">
        <v>1253385</v>
      </c>
      <c r="AJ6" s="258">
        <v>1121789</v>
      </c>
      <c r="AK6" s="259">
        <f>AI6-AJ6</f>
        <v>131596</v>
      </c>
      <c r="AL6" s="1032">
        <f>462610+34091</f>
        <v>496701</v>
      </c>
      <c r="AM6" s="260">
        <v>417309</v>
      </c>
      <c r="AN6" s="1033">
        <f>45301+34091</f>
        <v>79392</v>
      </c>
      <c r="AO6" s="257">
        <v>443946</v>
      </c>
      <c r="AP6" s="258">
        <v>346298</v>
      </c>
      <c r="AQ6" s="259">
        <f>AO6-AP6</f>
        <v>97648</v>
      </c>
      <c r="AR6" s="257">
        <v>1749936</v>
      </c>
      <c r="AS6" s="258">
        <v>1528908</v>
      </c>
      <c r="AT6" s="259">
        <f>AR6-AS6</f>
        <v>221028</v>
      </c>
      <c r="AU6" s="257">
        <v>4354212</v>
      </c>
      <c r="AV6" s="258">
        <v>3075384</v>
      </c>
      <c r="AW6" s="259">
        <f>AU6-AV6</f>
        <v>1278828</v>
      </c>
      <c r="AX6" s="257"/>
      <c r="AY6" s="258"/>
      <c r="AZ6" s="1015">
        <f aca="true" t="shared" si="2" ref="AZ6:AZ20">AX6-AY6</f>
        <v>0</v>
      </c>
      <c r="BA6" s="257">
        <v>566484</v>
      </c>
      <c r="BB6" s="258">
        <v>444253</v>
      </c>
      <c r="BC6" s="259">
        <f>BA6-BB6</f>
        <v>122231</v>
      </c>
      <c r="BD6" s="261"/>
      <c r="BE6" s="258"/>
      <c r="BF6" s="281"/>
      <c r="BG6" s="21">
        <v>2110066</v>
      </c>
      <c r="BH6" s="22">
        <v>1725098</v>
      </c>
      <c r="BI6" s="23">
        <f>BG6-BH6</f>
        <v>384968</v>
      </c>
      <c r="BJ6" s="1034">
        <v>412361</v>
      </c>
      <c r="BK6" s="266">
        <v>224986</v>
      </c>
      <c r="BL6" s="267">
        <f>BJ6-BK6</f>
        <v>187375</v>
      </c>
      <c r="BM6" s="1034">
        <v>555236</v>
      </c>
      <c r="BN6" s="266">
        <v>500069</v>
      </c>
      <c r="BO6" s="267">
        <f>BM6-BN6</f>
        <v>55167</v>
      </c>
      <c r="BP6" s="1013">
        <v>1684729</v>
      </c>
      <c r="BQ6" s="1014">
        <v>1230590</v>
      </c>
      <c r="BR6" s="1140">
        <f>BP6-BQ6</f>
        <v>454139</v>
      </c>
      <c r="BS6" s="268">
        <f aca="true" t="shared" si="3" ref="BS6:BS20">B6+E6+H6+K6+N6+Q6+T6+W6+Z6+AC6+AF6+AI6+AL6+AO6+AR6+AU6+AX6+BA6+BD6+BG6+BJ6+BM6+BP6</f>
        <v>23598809</v>
      </c>
      <c r="BT6" s="258">
        <f aca="true" t="shared" si="4" ref="BT6:BU20">C6+F6+I6+L6+O6+R6+U6+X6+AA6+AD6+AG6+AJ6+AM6+AP6+AS6+AV6+AY6+BB6+BE6+BH6+BK6+BN6+BQ6</f>
        <v>18190567</v>
      </c>
      <c r="BU6" s="259">
        <f t="shared" si="4"/>
        <v>5408242</v>
      </c>
      <c r="BV6" s="1034">
        <v>499114</v>
      </c>
      <c r="BW6" s="266">
        <v>140325</v>
      </c>
      <c r="BX6" s="267">
        <f>BV6-BW6</f>
        <v>358789</v>
      </c>
      <c r="BY6" s="268">
        <f aca="true" t="shared" si="5" ref="BY6:BY20">BS6+BV6</f>
        <v>24097923</v>
      </c>
      <c r="BZ6" s="258">
        <f aca="true" t="shared" si="6" ref="BZ6:CA20">BT6+BW6</f>
        <v>18330892</v>
      </c>
      <c r="CA6" s="259">
        <f t="shared" si="6"/>
        <v>5767031</v>
      </c>
    </row>
    <row r="7" spans="1:79" ht="16.5">
      <c r="A7" s="544" t="s">
        <v>266</v>
      </c>
      <c r="B7" s="254"/>
      <c r="C7" s="255"/>
      <c r="D7" s="652">
        <f t="shared" si="0"/>
        <v>0</v>
      </c>
      <c r="E7" s="257"/>
      <c r="F7" s="258"/>
      <c r="G7" s="1015">
        <f t="shared" si="1"/>
        <v>0</v>
      </c>
      <c r="H7" s="257"/>
      <c r="I7" s="258"/>
      <c r="J7" s="259">
        <f aca="true" t="shared" si="7" ref="J7:J19">H7-I7</f>
        <v>0</v>
      </c>
      <c r="K7" s="257">
        <v>634570</v>
      </c>
      <c r="L7" s="258"/>
      <c r="M7" s="264">
        <f aca="true" t="shared" si="8" ref="M7:M20">K7-L7</f>
        <v>634570</v>
      </c>
      <c r="N7" s="257"/>
      <c r="O7" s="258"/>
      <c r="P7" s="259">
        <f aca="true" t="shared" si="9" ref="P7:P15">N7-O7</f>
        <v>0</v>
      </c>
      <c r="Q7" s="257"/>
      <c r="R7" s="259"/>
      <c r="S7" s="259">
        <f aca="true" t="shared" si="10" ref="S7:S20">Q7-R7</f>
        <v>0</v>
      </c>
      <c r="T7" s="268"/>
      <c r="U7" s="258"/>
      <c r="V7" s="259">
        <f aca="true" t="shared" si="11" ref="V7:V15">T7-U7</f>
        <v>0</v>
      </c>
      <c r="W7" s="257"/>
      <c r="X7" s="258"/>
      <c r="Y7" s="259">
        <f aca="true" t="shared" si="12" ref="Y7:Y19">W7-X7</f>
        <v>0</v>
      </c>
      <c r="Z7" s="257"/>
      <c r="AA7" s="258"/>
      <c r="AB7" s="259">
        <f aca="true" t="shared" si="13" ref="AB7:AB17">Z7-AA7</f>
        <v>0</v>
      </c>
      <c r="AC7" s="257"/>
      <c r="AD7" s="258"/>
      <c r="AE7" s="259">
        <f aca="true" t="shared" si="14" ref="AE7:AE15">AC7-AD7</f>
        <v>0</v>
      </c>
      <c r="AF7" s="257"/>
      <c r="AG7" s="258"/>
      <c r="AH7" s="259">
        <f aca="true" t="shared" si="15" ref="AH7:AH15">AF7-AG7</f>
        <v>0</v>
      </c>
      <c r="AI7" s="257">
        <v>903280</v>
      </c>
      <c r="AJ7" s="258"/>
      <c r="AK7" s="259">
        <f aca="true" t="shared" si="16" ref="AK7:AK16">AI7-AJ7</f>
        <v>903280</v>
      </c>
      <c r="AL7" s="1032"/>
      <c r="AM7" s="260"/>
      <c r="AN7" s="1033">
        <f aca="true" t="shared" si="17" ref="AN7:AN18">AL7-AM7</f>
        <v>0</v>
      </c>
      <c r="AO7" s="257"/>
      <c r="AP7" s="258"/>
      <c r="AQ7" s="259">
        <f aca="true" t="shared" si="18" ref="AQ7:AQ14">AO7-AP7</f>
        <v>0</v>
      </c>
      <c r="AR7" s="704"/>
      <c r="AS7" s="705"/>
      <c r="AT7" s="259">
        <f aca="true" t="shared" si="19" ref="AT7:AT15">AR7-AS7</f>
        <v>0</v>
      </c>
      <c r="AU7" s="257"/>
      <c r="AV7" s="258"/>
      <c r="AW7" s="259">
        <f aca="true" t="shared" si="20" ref="AW7:AW15">AU7-AV7</f>
        <v>0</v>
      </c>
      <c r="AX7" s="257"/>
      <c r="AY7" s="258"/>
      <c r="AZ7" s="1015">
        <f t="shared" si="2"/>
        <v>0</v>
      </c>
      <c r="BA7" s="257"/>
      <c r="BB7" s="258"/>
      <c r="BC7" s="259">
        <f aca="true" t="shared" si="21" ref="BC7:BC17">BA7-BB7</f>
        <v>0</v>
      </c>
      <c r="BD7" s="261"/>
      <c r="BE7" s="258"/>
      <c r="BF7" s="281"/>
      <c r="BG7" s="21">
        <v>1762522</v>
      </c>
      <c r="BH7" s="99"/>
      <c r="BI7" s="23">
        <f aca="true" t="shared" si="22" ref="BI7:BI16">BG7-BH7</f>
        <v>1762522</v>
      </c>
      <c r="BJ7" s="1034">
        <v>56334</v>
      </c>
      <c r="BK7" s="266"/>
      <c r="BL7" s="267">
        <f aca="true" t="shared" si="23" ref="BL7:BL17">BJ7-BK7</f>
        <v>56334</v>
      </c>
      <c r="BM7" s="1034"/>
      <c r="BN7" s="266"/>
      <c r="BO7" s="267">
        <f aca="true" t="shared" si="24" ref="BO7:BO18">BM7-BN7</f>
        <v>0</v>
      </c>
      <c r="BP7" s="257"/>
      <c r="BQ7" s="258"/>
      <c r="BR7" s="1140"/>
      <c r="BS7" s="268">
        <f t="shared" si="3"/>
        <v>3356706</v>
      </c>
      <c r="BT7" s="258">
        <f t="shared" si="4"/>
        <v>0</v>
      </c>
      <c r="BU7" s="259">
        <f t="shared" si="4"/>
        <v>3356706</v>
      </c>
      <c r="BV7" s="257">
        <v>937770</v>
      </c>
      <c r="BW7" s="258"/>
      <c r="BX7" s="267">
        <f aca="true" t="shared" si="25" ref="BX7:BX20">BV7-BW7</f>
        <v>937770</v>
      </c>
      <c r="BY7" s="268">
        <f t="shared" si="5"/>
        <v>4294476</v>
      </c>
      <c r="BZ7" s="258">
        <f t="shared" si="6"/>
        <v>0</v>
      </c>
      <c r="CA7" s="259">
        <f t="shared" si="6"/>
        <v>4294476</v>
      </c>
    </row>
    <row r="8" spans="1:79" ht="16.5">
      <c r="A8" s="544" t="s">
        <v>267</v>
      </c>
      <c r="B8" s="254"/>
      <c r="C8" s="255"/>
      <c r="D8" s="652">
        <f t="shared" si="0"/>
        <v>0</v>
      </c>
      <c r="E8" s="257"/>
      <c r="F8" s="258"/>
      <c r="G8" s="1015">
        <f t="shared" si="1"/>
        <v>0</v>
      </c>
      <c r="H8" s="257"/>
      <c r="I8" s="258"/>
      <c r="J8" s="259">
        <f t="shared" si="7"/>
        <v>0</v>
      </c>
      <c r="K8" s="257">
        <v>480865</v>
      </c>
      <c r="L8" s="258">
        <v>286195</v>
      </c>
      <c r="M8" s="264">
        <f t="shared" si="8"/>
        <v>194670</v>
      </c>
      <c r="N8" s="257"/>
      <c r="O8" s="258"/>
      <c r="P8" s="259">
        <f t="shared" si="9"/>
        <v>0</v>
      </c>
      <c r="Q8" s="257"/>
      <c r="R8" s="259"/>
      <c r="S8" s="259">
        <f t="shared" si="10"/>
        <v>0</v>
      </c>
      <c r="T8" s="268"/>
      <c r="U8" s="258"/>
      <c r="V8" s="259">
        <f t="shared" si="11"/>
        <v>0</v>
      </c>
      <c r="W8" s="257"/>
      <c r="X8" s="258"/>
      <c r="Y8" s="259">
        <f t="shared" si="12"/>
        <v>0</v>
      </c>
      <c r="Z8" s="257"/>
      <c r="AA8" s="258"/>
      <c r="AB8" s="259">
        <f t="shared" si="13"/>
        <v>0</v>
      </c>
      <c r="AC8" s="257"/>
      <c r="AD8" s="258"/>
      <c r="AE8" s="259">
        <f t="shared" si="14"/>
        <v>0</v>
      </c>
      <c r="AF8" s="257"/>
      <c r="AG8" s="258"/>
      <c r="AH8" s="259">
        <f t="shared" si="15"/>
        <v>0</v>
      </c>
      <c r="AI8" s="257"/>
      <c r="AJ8" s="258"/>
      <c r="AK8" s="259">
        <f t="shared" si="16"/>
        <v>0</v>
      </c>
      <c r="AL8" s="257"/>
      <c r="AM8" s="258"/>
      <c r="AN8" s="1033">
        <f t="shared" si="17"/>
        <v>0</v>
      </c>
      <c r="AO8" s="257"/>
      <c r="AP8" s="258"/>
      <c r="AQ8" s="259">
        <f t="shared" si="18"/>
        <v>0</v>
      </c>
      <c r="AR8" s="257"/>
      <c r="AS8" s="258"/>
      <c r="AT8" s="259">
        <f t="shared" si="19"/>
        <v>0</v>
      </c>
      <c r="AU8" s="257"/>
      <c r="AV8" s="258"/>
      <c r="AW8" s="259">
        <f t="shared" si="20"/>
        <v>0</v>
      </c>
      <c r="AX8" s="257"/>
      <c r="AY8" s="258"/>
      <c r="AZ8" s="1015">
        <f t="shared" si="2"/>
        <v>0</v>
      </c>
      <c r="BA8" s="257">
        <v>152132</v>
      </c>
      <c r="BB8" s="258">
        <v>78692</v>
      </c>
      <c r="BC8" s="259">
        <f t="shared" si="21"/>
        <v>73440</v>
      </c>
      <c r="BD8" s="261"/>
      <c r="BE8" s="258"/>
      <c r="BF8" s="281"/>
      <c r="BG8" s="41"/>
      <c r="BH8" s="99"/>
      <c r="BI8" s="23">
        <f t="shared" si="22"/>
        <v>0</v>
      </c>
      <c r="BJ8" s="1034"/>
      <c r="BK8" s="266"/>
      <c r="BL8" s="267">
        <f t="shared" si="23"/>
        <v>0</v>
      </c>
      <c r="BM8" s="1034"/>
      <c r="BN8" s="266"/>
      <c r="BO8" s="267">
        <f t="shared" si="24"/>
        <v>0</v>
      </c>
      <c r="BP8" s="257">
        <v>689347</v>
      </c>
      <c r="BQ8" s="258">
        <v>612050</v>
      </c>
      <c r="BR8" s="1140">
        <f aca="true" t="shared" si="26" ref="BR8:BR16">BP8-BQ8</f>
        <v>77297</v>
      </c>
      <c r="BS8" s="268">
        <f t="shared" si="3"/>
        <v>1322344</v>
      </c>
      <c r="BT8" s="258">
        <f t="shared" si="4"/>
        <v>976937</v>
      </c>
      <c r="BU8" s="259">
        <f t="shared" si="4"/>
        <v>345407</v>
      </c>
      <c r="BV8" s="1034">
        <v>881720</v>
      </c>
      <c r="BW8" s="266">
        <v>93617</v>
      </c>
      <c r="BX8" s="267">
        <f t="shared" si="25"/>
        <v>788103</v>
      </c>
      <c r="BY8" s="268">
        <f t="shared" si="5"/>
        <v>2204064</v>
      </c>
      <c r="BZ8" s="258">
        <f t="shared" si="6"/>
        <v>1070554</v>
      </c>
      <c r="CA8" s="259">
        <f t="shared" si="6"/>
        <v>1133510</v>
      </c>
    </row>
    <row r="9" spans="1:79" ht="16.5">
      <c r="A9" s="544" t="s">
        <v>268</v>
      </c>
      <c r="B9" s="254"/>
      <c r="C9" s="255"/>
      <c r="D9" s="652">
        <f t="shared" si="0"/>
        <v>0</v>
      </c>
      <c r="E9" s="257"/>
      <c r="F9" s="258"/>
      <c r="G9" s="1015">
        <f t="shared" si="1"/>
        <v>0</v>
      </c>
      <c r="H9" s="257"/>
      <c r="I9" s="258"/>
      <c r="J9" s="259">
        <f t="shared" si="7"/>
        <v>0</v>
      </c>
      <c r="K9" s="257">
        <v>1928014</v>
      </c>
      <c r="L9" s="258">
        <v>300700</v>
      </c>
      <c r="M9" s="264">
        <f t="shared" si="8"/>
        <v>1627314</v>
      </c>
      <c r="N9" s="257"/>
      <c r="O9" s="258"/>
      <c r="P9" s="259">
        <f t="shared" si="9"/>
        <v>0</v>
      </c>
      <c r="Q9" s="257"/>
      <c r="R9" s="258"/>
      <c r="S9" s="259">
        <f t="shared" si="10"/>
        <v>0</v>
      </c>
      <c r="T9" s="268"/>
      <c r="U9" s="258"/>
      <c r="V9" s="259">
        <f t="shared" si="11"/>
        <v>0</v>
      </c>
      <c r="W9" s="257">
        <v>275785</v>
      </c>
      <c r="X9" s="258">
        <v>21660</v>
      </c>
      <c r="Y9" s="259">
        <f t="shared" si="12"/>
        <v>254125</v>
      </c>
      <c r="Z9" s="257"/>
      <c r="AA9" s="258"/>
      <c r="AB9" s="259">
        <f t="shared" si="13"/>
        <v>0</v>
      </c>
      <c r="AC9" s="257"/>
      <c r="AD9" s="258"/>
      <c r="AE9" s="259">
        <f t="shared" si="14"/>
        <v>0</v>
      </c>
      <c r="AF9" s="257">
        <v>2866745</v>
      </c>
      <c r="AG9" s="258">
        <v>412198</v>
      </c>
      <c r="AH9" s="259">
        <f t="shared" si="15"/>
        <v>2454547</v>
      </c>
      <c r="AI9" s="257">
        <v>2126488</v>
      </c>
      <c r="AJ9" s="258">
        <v>69459</v>
      </c>
      <c r="AK9" s="259">
        <f t="shared" si="16"/>
        <v>2057029</v>
      </c>
      <c r="AL9" s="257">
        <v>1218797</v>
      </c>
      <c r="AM9" s="258">
        <v>53016</v>
      </c>
      <c r="AN9" s="1033">
        <f t="shared" si="17"/>
        <v>1165781</v>
      </c>
      <c r="AO9" s="257"/>
      <c r="AP9" s="258"/>
      <c r="AQ9" s="259">
        <f t="shared" si="18"/>
        <v>0</v>
      </c>
      <c r="AR9" s="257"/>
      <c r="AS9" s="258"/>
      <c r="AT9" s="259">
        <f t="shared" si="19"/>
        <v>0</v>
      </c>
      <c r="AU9" s="257"/>
      <c r="AV9" s="258"/>
      <c r="AW9" s="259">
        <f t="shared" si="20"/>
        <v>0</v>
      </c>
      <c r="AX9" s="257">
        <v>244323</v>
      </c>
      <c r="AY9" s="258">
        <v>19158</v>
      </c>
      <c r="AZ9" s="1015">
        <f t="shared" si="2"/>
        <v>225165</v>
      </c>
      <c r="BA9" s="257"/>
      <c r="BB9" s="258"/>
      <c r="BC9" s="259">
        <f t="shared" si="21"/>
        <v>0</v>
      </c>
      <c r="BD9" s="261"/>
      <c r="BE9" s="258"/>
      <c r="BF9" s="281"/>
      <c r="BG9" s="21">
        <v>677870</v>
      </c>
      <c r="BH9" s="22">
        <v>87109</v>
      </c>
      <c r="BI9" s="23">
        <f t="shared" si="22"/>
        <v>590761</v>
      </c>
      <c r="BJ9" s="1034">
        <v>134370</v>
      </c>
      <c r="BK9" s="266">
        <v>14106</v>
      </c>
      <c r="BL9" s="267">
        <f t="shared" si="23"/>
        <v>120264</v>
      </c>
      <c r="BM9" s="1034"/>
      <c r="BN9" s="266"/>
      <c r="BO9" s="267">
        <f t="shared" si="24"/>
        <v>0</v>
      </c>
      <c r="BP9" s="257">
        <v>1049746</v>
      </c>
      <c r="BQ9" s="258">
        <v>114581</v>
      </c>
      <c r="BR9" s="1140">
        <f t="shared" si="26"/>
        <v>935165</v>
      </c>
      <c r="BS9" s="268">
        <f t="shared" si="3"/>
        <v>10522138</v>
      </c>
      <c r="BT9" s="258">
        <f t="shared" si="4"/>
        <v>1091987</v>
      </c>
      <c r="BU9" s="259">
        <f t="shared" si="4"/>
        <v>9430151</v>
      </c>
      <c r="BV9" s="1034">
        <v>24277694</v>
      </c>
      <c r="BW9" s="266">
        <v>7134462</v>
      </c>
      <c r="BX9" s="267">
        <f t="shared" si="25"/>
        <v>17143232</v>
      </c>
      <c r="BY9" s="268">
        <f t="shared" si="5"/>
        <v>34799832</v>
      </c>
      <c r="BZ9" s="258">
        <f t="shared" si="6"/>
        <v>8226449</v>
      </c>
      <c r="CA9" s="259">
        <f t="shared" si="6"/>
        <v>26573383</v>
      </c>
    </row>
    <row r="10" spans="1:79" ht="16.5">
      <c r="A10" s="544" t="s">
        <v>269</v>
      </c>
      <c r="B10" s="254"/>
      <c r="C10" s="255"/>
      <c r="D10" s="652">
        <f t="shared" si="0"/>
        <v>0</v>
      </c>
      <c r="E10" s="257">
        <v>51148</v>
      </c>
      <c r="F10" s="258">
        <v>28748</v>
      </c>
      <c r="G10" s="1015">
        <f t="shared" si="1"/>
        <v>22400</v>
      </c>
      <c r="H10" s="257">
        <v>278757</v>
      </c>
      <c r="I10" s="258">
        <v>267505</v>
      </c>
      <c r="J10" s="259">
        <f t="shared" si="7"/>
        <v>11252</v>
      </c>
      <c r="K10" s="257"/>
      <c r="L10" s="258"/>
      <c r="M10" s="264">
        <f t="shared" si="8"/>
        <v>0</v>
      </c>
      <c r="N10" s="257">
        <v>133079</v>
      </c>
      <c r="O10" s="258">
        <v>116769</v>
      </c>
      <c r="P10" s="259">
        <f t="shared" si="9"/>
        <v>16310</v>
      </c>
      <c r="Q10" s="257">
        <v>52945</v>
      </c>
      <c r="R10" s="258">
        <v>40273</v>
      </c>
      <c r="S10" s="259">
        <f t="shared" si="10"/>
        <v>12672</v>
      </c>
      <c r="T10" s="268">
        <v>230345</v>
      </c>
      <c r="U10" s="258">
        <v>101283</v>
      </c>
      <c r="V10" s="259">
        <f t="shared" si="11"/>
        <v>129062</v>
      </c>
      <c r="W10" s="257">
        <v>149890</v>
      </c>
      <c r="X10" s="258">
        <v>81295</v>
      </c>
      <c r="Y10" s="259">
        <f t="shared" si="12"/>
        <v>68595</v>
      </c>
      <c r="Z10" s="257">
        <v>607107</v>
      </c>
      <c r="AA10" s="258">
        <v>500620</v>
      </c>
      <c r="AB10" s="259">
        <f t="shared" si="13"/>
        <v>106487</v>
      </c>
      <c r="AC10" s="257">
        <v>135542</v>
      </c>
      <c r="AD10" s="258">
        <v>62277</v>
      </c>
      <c r="AE10" s="259">
        <f t="shared" si="14"/>
        <v>73265</v>
      </c>
      <c r="AF10" s="257">
        <v>16936</v>
      </c>
      <c r="AG10" s="258">
        <v>14757</v>
      </c>
      <c r="AH10" s="259">
        <f t="shared" si="15"/>
        <v>2179</v>
      </c>
      <c r="AI10" s="257">
        <v>1416510</v>
      </c>
      <c r="AJ10" s="258">
        <v>1017986</v>
      </c>
      <c r="AK10" s="259">
        <f t="shared" si="16"/>
        <v>398524</v>
      </c>
      <c r="AL10" s="257">
        <v>23570</v>
      </c>
      <c r="AM10" s="258">
        <v>21325</v>
      </c>
      <c r="AN10" s="1033">
        <f t="shared" si="17"/>
        <v>2245</v>
      </c>
      <c r="AO10" s="257">
        <v>177374</v>
      </c>
      <c r="AP10" s="258">
        <v>153332</v>
      </c>
      <c r="AQ10" s="259">
        <f t="shared" si="18"/>
        <v>24042</v>
      </c>
      <c r="AR10" s="257"/>
      <c r="AS10" s="258"/>
      <c r="AT10" s="259">
        <f t="shared" si="19"/>
        <v>0</v>
      </c>
      <c r="AU10" s="257">
        <v>1335424</v>
      </c>
      <c r="AV10" s="258">
        <v>1035449</v>
      </c>
      <c r="AW10" s="259">
        <f t="shared" si="20"/>
        <v>299975</v>
      </c>
      <c r="AX10" s="257">
        <v>225901</v>
      </c>
      <c r="AY10" s="258">
        <v>141010</v>
      </c>
      <c r="AZ10" s="1015">
        <f t="shared" si="2"/>
        <v>84891</v>
      </c>
      <c r="BA10" s="257"/>
      <c r="BB10" s="258"/>
      <c r="BC10" s="259">
        <f t="shared" si="21"/>
        <v>0</v>
      </c>
      <c r="BD10" s="261"/>
      <c r="BE10" s="258"/>
      <c r="BF10" s="281"/>
      <c r="BG10" s="21">
        <v>1427317</v>
      </c>
      <c r="BH10" s="22">
        <v>64031</v>
      </c>
      <c r="BI10" s="23">
        <f t="shared" si="22"/>
        <v>1363286</v>
      </c>
      <c r="BJ10" s="1034"/>
      <c r="BK10" s="266"/>
      <c r="BL10" s="267">
        <f t="shared" si="23"/>
        <v>0</v>
      </c>
      <c r="BM10" s="1034">
        <v>70542</v>
      </c>
      <c r="BN10" s="266">
        <v>63565</v>
      </c>
      <c r="BO10" s="267">
        <f t="shared" si="24"/>
        <v>6977</v>
      </c>
      <c r="BP10" s="257"/>
      <c r="BQ10" s="258"/>
      <c r="BR10" s="1140">
        <f t="shared" si="26"/>
        <v>0</v>
      </c>
      <c r="BS10" s="268">
        <f t="shared" si="3"/>
        <v>6332387</v>
      </c>
      <c r="BT10" s="258">
        <f t="shared" si="4"/>
        <v>3710225</v>
      </c>
      <c r="BU10" s="259">
        <f t="shared" si="4"/>
        <v>2622162</v>
      </c>
      <c r="BV10" s="1034"/>
      <c r="BW10" s="266"/>
      <c r="BX10" s="267">
        <f t="shared" si="25"/>
        <v>0</v>
      </c>
      <c r="BY10" s="268">
        <f t="shared" si="5"/>
        <v>6332387</v>
      </c>
      <c r="BZ10" s="258">
        <f t="shared" si="6"/>
        <v>3710225</v>
      </c>
      <c r="CA10" s="259">
        <f t="shared" si="6"/>
        <v>2622162</v>
      </c>
    </row>
    <row r="11" spans="1:79" ht="16.5">
      <c r="A11" s="544" t="s">
        <v>270</v>
      </c>
      <c r="B11" s="254">
        <v>175384</v>
      </c>
      <c r="C11" s="255">
        <v>131156</v>
      </c>
      <c r="D11" s="652">
        <f t="shared" si="0"/>
        <v>44228</v>
      </c>
      <c r="E11" s="257">
        <v>27551</v>
      </c>
      <c r="F11" s="258">
        <v>9533</v>
      </c>
      <c r="G11" s="1015">
        <f t="shared" si="1"/>
        <v>18018</v>
      </c>
      <c r="H11" s="257">
        <v>136511</v>
      </c>
      <c r="I11" s="258">
        <v>135204</v>
      </c>
      <c r="J11" s="259">
        <f t="shared" si="7"/>
        <v>1307</v>
      </c>
      <c r="K11" s="279">
        <v>293816</v>
      </c>
      <c r="L11" s="258">
        <v>209593</v>
      </c>
      <c r="M11" s="264">
        <f t="shared" si="8"/>
        <v>84223</v>
      </c>
      <c r="N11" s="257">
        <v>52950</v>
      </c>
      <c r="O11" s="258">
        <v>44235</v>
      </c>
      <c r="P11" s="259">
        <f t="shared" si="9"/>
        <v>8715</v>
      </c>
      <c r="Q11" s="257">
        <v>26480</v>
      </c>
      <c r="R11" s="258">
        <v>23229</v>
      </c>
      <c r="S11" s="259">
        <f t="shared" si="10"/>
        <v>3251</v>
      </c>
      <c r="T11" s="268">
        <v>42507</v>
      </c>
      <c r="U11" s="258">
        <v>27338</v>
      </c>
      <c r="V11" s="259">
        <f t="shared" si="11"/>
        <v>15169</v>
      </c>
      <c r="W11" s="257">
        <v>97492</v>
      </c>
      <c r="X11" s="258">
        <v>48505</v>
      </c>
      <c r="Y11" s="259">
        <f t="shared" si="12"/>
        <v>48987</v>
      </c>
      <c r="Z11" s="257">
        <v>120758</v>
      </c>
      <c r="AA11" s="258">
        <v>99310</v>
      </c>
      <c r="AB11" s="259">
        <f t="shared" si="13"/>
        <v>21448</v>
      </c>
      <c r="AC11" s="257">
        <v>58623</v>
      </c>
      <c r="AD11" s="258">
        <v>38475</v>
      </c>
      <c r="AE11" s="259">
        <f t="shared" si="14"/>
        <v>20148</v>
      </c>
      <c r="AF11" s="257">
        <v>693918</v>
      </c>
      <c r="AG11" s="258">
        <v>647338</v>
      </c>
      <c r="AH11" s="259">
        <f t="shared" si="15"/>
        <v>46580</v>
      </c>
      <c r="AI11" s="257">
        <v>339838</v>
      </c>
      <c r="AJ11" s="258">
        <v>245174</v>
      </c>
      <c r="AK11" s="259">
        <f t="shared" si="16"/>
        <v>94664</v>
      </c>
      <c r="AL11" s="1032">
        <v>95874</v>
      </c>
      <c r="AM11" s="260">
        <v>73715</v>
      </c>
      <c r="AN11" s="1033">
        <f t="shared" si="17"/>
        <v>22159</v>
      </c>
      <c r="AO11" s="257">
        <v>22946</v>
      </c>
      <c r="AP11" s="258">
        <v>21780</v>
      </c>
      <c r="AQ11" s="259">
        <f t="shared" si="18"/>
        <v>1166</v>
      </c>
      <c r="AR11" s="704">
        <v>565744</v>
      </c>
      <c r="AS11" s="705">
        <v>401207</v>
      </c>
      <c r="AT11" s="259">
        <f t="shared" si="19"/>
        <v>164537</v>
      </c>
      <c r="AU11" s="257">
        <v>396197</v>
      </c>
      <c r="AV11" s="258">
        <v>299570</v>
      </c>
      <c r="AW11" s="259">
        <f t="shared" si="20"/>
        <v>96627</v>
      </c>
      <c r="AX11" s="257">
        <v>79322</v>
      </c>
      <c r="AY11" s="258">
        <v>53772</v>
      </c>
      <c r="AZ11" s="1015">
        <f t="shared" si="2"/>
        <v>25550</v>
      </c>
      <c r="BA11" s="257">
        <v>127270</v>
      </c>
      <c r="BB11" s="258">
        <v>123763</v>
      </c>
      <c r="BC11" s="259">
        <f t="shared" si="21"/>
        <v>3507</v>
      </c>
      <c r="BD11" s="261"/>
      <c r="BE11" s="258"/>
      <c r="BF11" s="281"/>
      <c r="BG11" s="21">
        <v>914448</v>
      </c>
      <c r="BH11" s="22">
        <v>541999</v>
      </c>
      <c r="BI11" s="23">
        <f t="shared" si="22"/>
        <v>372449</v>
      </c>
      <c r="BJ11" s="1034">
        <v>232093</v>
      </c>
      <c r="BK11" s="266">
        <v>105197</v>
      </c>
      <c r="BL11" s="267">
        <f t="shared" si="23"/>
        <v>126896</v>
      </c>
      <c r="BM11" s="1034">
        <v>35496</v>
      </c>
      <c r="BN11" s="266">
        <v>24411</v>
      </c>
      <c r="BO11" s="267">
        <f t="shared" si="24"/>
        <v>11085</v>
      </c>
      <c r="BP11" s="257">
        <v>253072</v>
      </c>
      <c r="BQ11" s="258">
        <v>208051</v>
      </c>
      <c r="BR11" s="1140">
        <f t="shared" si="26"/>
        <v>45021</v>
      </c>
      <c r="BS11" s="268">
        <f t="shared" si="3"/>
        <v>4788290</v>
      </c>
      <c r="BT11" s="258">
        <f t="shared" si="4"/>
        <v>3512555</v>
      </c>
      <c r="BU11" s="259">
        <f t="shared" si="4"/>
        <v>1275735</v>
      </c>
      <c r="BV11" s="257">
        <v>4507290</v>
      </c>
      <c r="BW11" s="258">
        <v>3452822</v>
      </c>
      <c r="BX11" s="267">
        <f t="shared" si="25"/>
        <v>1054468</v>
      </c>
      <c r="BY11" s="268">
        <f t="shared" si="5"/>
        <v>9295580</v>
      </c>
      <c r="BZ11" s="258">
        <f t="shared" si="6"/>
        <v>6965377</v>
      </c>
      <c r="CA11" s="259">
        <f t="shared" si="6"/>
        <v>2330203</v>
      </c>
    </row>
    <row r="12" spans="1:79" ht="16.5">
      <c r="A12" s="544" t="s">
        <v>271</v>
      </c>
      <c r="B12" s="254">
        <v>829207</v>
      </c>
      <c r="C12" s="255">
        <v>689357</v>
      </c>
      <c r="D12" s="652">
        <f t="shared" si="0"/>
        <v>139850</v>
      </c>
      <c r="E12" s="257">
        <v>73281</v>
      </c>
      <c r="F12" s="258">
        <v>60225</v>
      </c>
      <c r="G12" s="1015">
        <f t="shared" si="1"/>
        <v>13056</v>
      </c>
      <c r="H12" s="257">
        <v>451955</v>
      </c>
      <c r="I12" s="258">
        <v>423864</v>
      </c>
      <c r="J12" s="259">
        <f t="shared" si="7"/>
        <v>28091</v>
      </c>
      <c r="K12" s="257">
        <f>670946+277840</f>
        <v>948786</v>
      </c>
      <c r="L12" s="258">
        <f>538902+103097</f>
        <v>641999</v>
      </c>
      <c r="M12" s="264">
        <f t="shared" si="8"/>
        <v>306787</v>
      </c>
      <c r="N12" s="257">
        <v>316818</v>
      </c>
      <c r="O12" s="258">
        <v>221513</v>
      </c>
      <c r="P12" s="259">
        <f t="shared" si="9"/>
        <v>95305</v>
      </c>
      <c r="Q12" s="257">
        <v>386560</v>
      </c>
      <c r="R12" s="258">
        <v>345464</v>
      </c>
      <c r="S12" s="259">
        <f t="shared" si="10"/>
        <v>41096</v>
      </c>
      <c r="T12" s="268">
        <v>272863</v>
      </c>
      <c r="U12" s="258">
        <v>185653</v>
      </c>
      <c r="V12" s="259">
        <f t="shared" si="11"/>
        <v>87210</v>
      </c>
      <c r="W12" s="257">
        <v>302817</v>
      </c>
      <c r="X12" s="258">
        <v>226013</v>
      </c>
      <c r="Y12" s="259">
        <f t="shared" si="12"/>
        <v>76804</v>
      </c>
      <c r="Z12" s="257">
        <v>362279</v>
      </c>
      <c r="AA12" s="258">
        <v>262581</v>
      </c>
      <c r="AB12" s="259">
        <f t="shared" si="13"/>
        <v>99698</v>
      </c>
      <c r="AC12" s="257">
        <v>370166</v>
      </c>
      <c r="AD12" s="258">
        <v>162430</v>
      </c>
      <c r="AE12" s="259">
        <f t="shared" si="14"/>
        <v>207736</v>
      </c>
      <c r="AF12" s="257">
        <v>977312</v>
      </c>
      <c r="AG12" s="258">
        <v>861962</v>
      </c>
      <c r="AH12" s="259">
        <f t="shared" si="15"/>
        <v>115350</v>
      </c>
      <c r="AI12" s="257">
        <v>466861</v>
      </c>
      <c r="AJ12" s="258">
        <v>391964</v>
      </c>
      <c r="AK12" s="259">
        <f t="shared" si="16"/>
        <v>74897</v>
      </c>
      <c r="AL12" s="1032">
        <f>109063+103657</f>
        <v>212720</v>
      </c>
      <c r="AM12" s="260">
        <f>73469+83498</f>
        <v>156967</v>
      </c>
      <c r="AN12" s="1033">
        <f t="shared" si="17"/>
        <v>55753</v>
      </c>
      <c r="AO12" s="257">
        <v>367889</v>
      </c>
      <c r="AP12" s="258">
        <v>287770</v>
      </c>
      <c r="AQ12" s="259">
        <f t="shared" si="18"/>
        <v>80119</v>
      </c>
      <c r="AR12" s="704">
        <v>703295</v>
      </c>
      <c r="AS12" s="705">
        <v>509819</v>
      </c>
      <c r="AT12" s="259">
        <f t="shared" si="19"/>
        <v>193476</v>
      </c>
      <c r="AU12" s="257">
        <v>1339216</v>
      </c>
      <c r="AV12" s="258">
        <v>1130398</v>
      </c>
      <c r="AW12" s="259">
        <f t="shared" si="20"/>
        <v>208818</v>
      </c>
      <c r="AX12" s="257">
        <f>649040+195708</f>
        <v>844748</v>
      </c>
      <c r="AY12" s="258">
        <f>477504+138626</f>
        <v>616130</v>
      </c>
      <c r="AZ12" s="1015">
        <f t="shared" si="2"/>
        <v>228618</v>
      </c>
      <c r="BA12" s="257">
        <v>558014</v>
      </c>
      <c r="BB12" s="258">
        <v>474197</v>
      </c>
      <c r="BC12" s="259">
        <f t="shared" si="21"/>
        <v>83817</v>
      </c>
      <c r="BD12" s="261"/>
      <c r="BE12" s="258"/>
      <c r="BF12" s="281"/>
      <c r="BG12" s="21">
        <v>1383833</v>
      </c>
      <c r="BH12" s="22">
        <v>1280300</v>
      </c>
      <c r="BI12" s="23">
        <f t="shared" si="22"/>
        <v>103533</v>
      </c>
      <c r="BJ12" s="1034">
        <v>207953</v>
      </c>
      <c r="BK12" s="266">
        <v>163539</v>
      </c>
      <c r="BL12" s="267">
        <f t="shared" si="23"/>
        <v>44414</v>
      </c>
      <c r="BM12" s="1034">
        <f>134143+283129</f>
        <v>417272</v>
      </c>
      <c r="BN12" s="266">
        <f>112865+263430</f>
        <v>376295</v>
      </c>
      <c r="BO12" s="267">
        <f t="shared" si="24"/>
        <v>40977</v>
      </c>
      <c r="BP12" s="257">
        <v>1160432</v>
      </c>
      <c r="BQ12" s="258">
        <v>857397</v>
      </c>
      <c r="BR12" s="1140">
        <f t="shared" si="26"/>
        <v>303035</v>
      </c>
      <c r="BS12" s="268">
        <f t="shared" si="3"/>
        <v>12954277</v>
      </c>
      <c r="BT12" s="258">
        <f t="shared" si="4"/>
        <v>10325837</v>
      </c>
      <c r="BU12" s="259">
        <f t="shared" si="4"/>
        <v>2628440</v>
      </c>
      <c r="BV12" s="257">
        <v>12431091</v>
      </c>
      <c r="BW12" s="258">
        <v>10272083</v>
      </c>
      <c r="BX12" s="267">
        <f t="shared" si="25"/>
        <v>2159008</v>
      </c>
      <c r="BY12" s="268">
        <f t="shared" si="5"/>
        <v>25385368</v>
      </c>
      <c r="BZ12" s="258">
        <f t="shared" si="6"/>
        <v>20597920</v>
      </c>
      <c r="CA12" s="259">
        <f t="shared" si="6"/>
        <v>4787448</v>
      </c>
    </row>
    <row r="13" spans="1:79" ht="16.5">
      <c r="A13" s="544" t="s">
        <v>272</v>
      </c>
      <c r="B13" s="254">
        <v>80024</v>
      </c>
      <c r="C13" s="255">
        <v>29099</v>
      </c>
      <c r="D13" s="652">
        <f t="shared" si="0"/>
        <v>50925</v>
      </c>
      <c r="E13" s="257">
        <v>275</v>
      </c>
      <c r="F13" s="258">
        <v>275</v>
      </c>
      <c r="G13" s="1015">
        <f t="shared" si="1"/>
        <v>0</v>
      </c>
      <c r="H13" s="257">
        <v>2782</v>
      </c>
      <c r="I13" s="258">
        <v>2553</v>
      </c>
      <c r="J13" s="259">
        <f t="shared" si="7"/>
        <v>229</v>
      </c>
      <c r="K13" s="257">
        <v>36448</v>
      </c>
      <c r="L13" s="258">
        <v>23816</v>
      </c>
      <c r="M13" s="264">
        <f t="shared" si="8"/>
        <v>12632</v>
      </c>
      <c r="N13" s="257"/>
      <c r="O13" s="258"/>
      <c r="P13" s="259">
        <f t="shared" si="9"/>
        <v>0</v>
      </c>
      <c r="Q13" s="257">
        <v>5940</v>
      </c>
      <c r="R13" s="258">
        <v>1546</v>
      </c>
      <c r="S13" s="259">
        <f t="shared" si="10"/>
        <v>4394</v>
      </c>
      <c r="T13" s="268"/>
      <c r="U13" s="258"/>
      <c r="V13" s="259">
        <f t="shared" si="11"/>
        <v>0</v>
      </c>
      <c r="W13" s="257">
        <v>10540</v>
      </c>
      <c r="X13" s="258">
        <v>8207</v>
      </c>
      <c r="Y13" s="259">
        <f t="shared" si="12"/>
        <v>2333</v>
      </c>
      <c r="Z13" s="257">
        <v>16304</v>
      </c>
      <c r="AA13" s="258">
        <v>16234</v>
      </c>
      <c r="AB13" s="259">
        <f t="shared" si="13"/>
        <v>70</v>
      </c>
      <c r="AC13" s="257">
        <v>8005</v>
      </c>
      <c r="AD13" s="258">
        <v>5707</v>
      </c>
      <c r="AE13" s="259">
        <f t="shared" si="14"/>
        <v>2298</v>
      </c>
      <c r="AF13" s="257">
        <v>170032</v>
      </c>
      <c r="AG13" s="258">
        <v>85356</v>
      </c>
      <c r="AH13" s="259">
        <f t="shared" si="15"/>
        <v>84676</v>
      </c>
      <c r="AI13" s="257">
        <v>81699</v>
      </c>
      <c r="AJ13" s="258">
        <v>31572</v>
      </c>
      <c r="AK13" s="259">
        <f t="shared" si="16"/>
        <v>50127</v>
      </c>
      <c r="AL13" s="1032">
        <v>30143</v>
      </c>
      <c r="AM13" s="260">
        <v>8641</v>
      </c>
      <c r="AN13" s="1033">
        <f t="shared" si="17"/>
        <v>21502</v>
      </c>
      <c r="AO13" s="257">
        <v>25944</v>
      </c>
      <c r="AP13" s="258">
        <v>4658</v>
      </c>
      <c r="AQ13" s="259">
        <f t="shared" si="18"/>
        <v>21286</v>
      </c>
      <c r="AR13" s="257">
        <v>120924</v>
      </c>
      <c r="AS13" s="258">
        <v>63200</v>
      </c>
      <c r="AT13" s="259">
        <f t="shared" si="19"/>
        <v>57724</v>
      </c>
      <c r="AU13" s="257">
        <v>25801</v>
      </c>
      <c r="AV13" s="258">
        <v>21648</v>
      </c>
      <c r="AW13" s="259">
        <f t="shared" si="20"/>
        <v>4153</v>
      </c>
      <c r="AX13" s="257">
        <v>5779</v>
      </c>
      <c r="AY13" s="258">
        <v>167</v>
      </c>
      <c r="AZ13" s="1015">
        <f t="shared" si="2"/>
        <v>5612</v>
      </c>
      <c r="BA13" s="257"/>
      <c r="BB13" s="258"/>
      <c r="BC13" s="259">
        <f t="shared" si="21"/>
        <v>0</v>
      </c>
      <c r="BD13" s="261"/>
      <c r="BE13" s="258"/>
      <c r="BF13" s="281"/>
      <c r="BG13" s="21">
        <v>2495</v>
      </c>
      <c r="BH13" s="22">
        <v>312</v>
      </c>
      <c r="BI13" s="23">
        <f t="shared" si="22"/>
        <v>2183</v>
      </c>
      <c r="BJ13" s="1034">
        <v>6929</v>
      </c>
      <c r="BK13" s="266">
        <v>5483</v>
      </c>
      <c r="BL13" s="267">
        <f t="shared" si="23"/>
        <v>1446</v>
      </c>
      <c r="BM13" s="1034">
        <v>25256</v>
      </c>
      <c r="BN13" s="266">
        <v>9583</v>
      </c>
      <c r="BO13" s="267">
        <f t="shared" si="24"/>
        <v>15673</v>
      </c>
      <c r="BP13" s="257">
        <v>8488</v>
      </c>
      <c r="BQ13" s="258">
        <v>2172</v>
      </c>
      <c r="BR13" s="1140">
        <f t="shared" si="26"/>
        <v>6316</v>
      </c>
      <c r="BS13" s="268">
        <f t="shared" si="3"/>
        <v>663808</v>
      </c>
      <c r="BT13" s="258">
        <f t="shared" si="4"/>
        <v>320229</v>
      </c>
      <c r="BU13" s="259">
        <f t="shared" si="4"/>
        <v>343579</v>
      </c>
      <c r="BV13" s="257">
        <v>8178593</v>
      </c>
      <c r="BW13" s="258">
        <v>5276118</v>
      </c>
      <c r="BX13" s="267">
        <f t="shared" si="25"/>
        <v>2902475</v>
      </c>
      <c r="BY13" s="268">
        <f t="shared" si="5"/>
        <v>8842401</v>
      </c>
      <c r="BZ13" s="258">
        <f t="shared" si="6"/>
        <v>5596347</v>
      </c>
      <c r="CA13" s="259">
        <f t="shared" si="6"/>
        <v>3246054</v>
      </c>
    </row>
    <row r="14" spans="1:79" ht="16.5">
      <c r="A14" s="544" t="s">
        <v>273</v>
      </c>
      <c r="B14" s="254">
        <v>217126</v>
      </c>
      <c r="C14" s="255">
        <v>177843</v>
      </c>
      <c r="D14" s="652">
        <f t="shared" si="0"/>
        <v>39283</v>
      </c>
      <c r="E14" s="257">
        <v>20064</v>
      </c>
      <c r="F14" s="258">
        <v>11535</v>
      </c>
      <c r="G14" s="1015">
        <f t="shared" si="1"/>
        <v>8529</v>
      </c>
      <c r="H14" s="257">
        <v>67607</v>
      </c>
      <c r="I14" s="258">
        <v>67077</v>
      </c>
      <c r="J14" s="259">
        <f t="shared" si="7"/>
        <v>530</v>
      </c>
      <c r="K14" s="257">
        <v>151016</v>
      </c>
      <c r="L14" s="258">
        <v>123209</v>
      </c>
      <c r="M14" s="264">
        <f t="shared" si="8"/>
        <v>27807</v>
      </c>
      <c r="N14" s="257">
        <v>97014</v>
      </c>
      <c r="O14" s="258">
        <v>54315</v>
      </c>
      <c r="P14" s="259">
        <f t="shared" si="9"/>
        <v>42699</v>
      </c>
      <c r="Q14" s="257">
        <v>18749</v>
      </c>
      <c r="R14" s="258">
        <v>16405</v>
      </c>
      <c r="S14" s="259">
        <f t="shared" si="10"/>
        <v>2344</v>
      </c>
      <c r="T14" s="268">
        <v>61455</v>
      </c>
      <c r="U14" s="258">
        <v>34846</v>
      </c>
      <c r="V14" s="259">
        <f t="shared" si="11"/>
        <v>26609</v>
      </c>
      <c r="W14" s="257">
        <v>91530</v>
      </c>
      <c r="X14" s="258">
        <v>76539</v>
      </c>
      <c r="Y14" s="259">
        <f t="shared" si="12"/>
        <v>14991</v>
      </c>
      <c r="Z14" s="257">
        <v>217172</v>
      </c>
      <c r="AA14" s="258">
        <v>178672</v>
      </c>
      <c r="AB14" s="259">
        <f t="shared" si="13"/>
        <v>38500</v>
      </c>
      <c r="AC14" s="257">
        <v>92724</v>
      </c>
      <c r="AD14" s="258">
        <v>52500</v>
      </c>
      <c r="AE14" s="259">
        <f t="shared" si="14"/>
        <v>40224</v>
      </c>
      <c r="AF14" s="257">
        <v>616710</v>
      </c>
      <c r="AG14" s="258">
        <v>526176</v>
      </c>
      <c r="AH14" s="259">
        <f t="shared" si="15"/>
        <v>90534</v>
      </c>
      <c r="AI14" s="257">
        <v>512031</v>
      </c>
      <c r="AJ14" s="258">
        <v>370395</v>
      </c>
      <c r="AK14" s="259">
        <f t="shared" si="16"/>
        <v>141636</v>
      </c>
      <c r="AL14" s="1032">
        <v>91797</v>
      </c>
      <c r="AM14" s="260">
        <v>60608</v>
      </c>
      <c r="AN14" s="1033">
        <f t="shared" si="17"/>
        <v>31189</v>
      </c>
      <c r="AO14" s="257">
        <v>62538</v>
      </c>
      <c r="AP14" s="258">
        <v>58796</v>
      </c>
      <c r="AQ14" s="259">
        <f t="shared" si="18"/>
        <v>3742</v>
      </c>
      <c r="AR14" s="257">
        <v>192644</v>
      </c>
      <c r="AS14" s="258">
        <v>136975</v>
      </c>
      <c r="AT14" s="259">
        <f t="shared" si="19"/>
        <v>55669</v>
      </c>
      <c r="AU14" s="257">
        <v>563970</v>
      </c>
      <c r="AV14" s="258">
        <v>430464</v>
      </c>
      <c r="AW14" s="259">
        <f t="shared" si="20"/>
        <v>133506</v>
      </c>
      <c r="AX14" s="257">
        <v>115434</v>
      </c>
      <c r="AY14" s="258">
        <v>87185</v>
      </c>
      <c r="AZ14" s="1015">
        <f t="shared" si="2"/>
        <v>28249</v>
      </c>
      <c r="BA14" s="257">
        <v>204088</v>
      </c>
      <c r="BB14" s="258">
        <v>176852</v>
      </c>
      <c r="BC14" s="259">
        <f t="shared" si="21"/>
        <v>27236</v>
      </c>
      <c r="BD14" s="261"/>
      <c r="BE14" s="258"/>
      <c r="BF14" s="281"/>
      <c r="BG14" s="21">
        <v>635591</v>
      </c>
      <c r="BH14" s="22">
        <v>369633</v>
      </c>
      <c r="BI14" s="23">
        <f t="shared" si="22"/>
        <v>265958</v>
      </c>
      <c r="BJ14" s="1034">
        <v>50222</v>
      </c>
      <c r="BK14" s="266">
        <v>18337</v>
      </c>
      <c r="BL14" s="267">
        <f t="shared" si="23"/>
        <v>31885</v>
      </c>
      <c r="BM14" s="1034">
        <v>40115</v>
      </c>
      <c r="BN14" s="266">
        <v>26563</v>
      </c>
      <c r="BO14" s="267">
        <f t="shared" si="24"/>
        <v>13552</v>
      </c>
      <c r="BP14" s="257">
        <v>301190</v>
      </c>
      <c r="BQ14" s="258">
        <v>226572</v>
      </c>
      <c r="BR14" s="1140">
        <f t="shared" si="26"/>
        <v>74618</v>
      </c>
      <c r="BS14" s="268">
        <f t="shared" si="3"/>
        <v>4420787</v>
      </c>
      <c r="BT14" s="258">
        <f t="shared" si="4"/>
        <v>3281497</v>
      </c>
      <c r="BU14" s="259">
        <f t="shared" si="4"/>
        <v>1139290</v>
      </c>
      <c r="BV14" s="257">
        <v>669043</v>
      </c>
      <c r="BW14" s="258">
        <v>570186</v>
      </c>
      <c r="BX14" s="267">
        <f t="shared" si="25"/>
        <v>98857</v>
      </c>
      <c r="BY14" s="268">
        <f t="shared" si="5"/>
        <v>5089830</v>
      </c>
      <c r="BZ14" s="258">
        <f t="shared" si="6"/>
        <v>3851683</v>
      </c>
      <c r="CA14" s="259">
        <f t="shared" si="6"/>
        <v>1238147</v>
      </c>
    </row>
    <row r="15" spans="1:79" ht="16.5">
      <c r="A15" s="544" t="s">
        <v>274</v>
      </c>
      <c r="B15" s="254">
        <v>368345</v>
      </c>
      <c r="C15" s="255">
        <v>316137</v>
      </c>
      <c r="D15" s="652">
        <f t="shared" si="0"/>
        <v>52208</v>
      </c>
      <c r="E15" s="257"/>
      <c r="F15" s="258"/>
      <c r="G15" s="1015">
        <f t="shared" si="1"/>
        <v>0</v>
      </c>
      <c r="H15" s="257"/>
      <c r="I15" s="258"/>
      <c r="J15" s="259">
        <f t="shared" si="7"/>
        <v>0</v>
      </c>
      <c r="K15" s="257"/>
      <c r="L15" s="258"/>
      <c r="M15" s="264">
        <f t="shared" si="8"/>
        <v>0</v>
      </c>
      <c r="N15" s="257"/>
      <c r="O15" s="258"/>
      <c r="P15" s="259">
        <f t="shared" si="9"/>
        <v>0</v>
      </c>
      <c r="Q15" s="257"/>
      <c r="R15" s="258"/>
      <c r="S15" s="259">
        <f t="shared" si="10"/>
        <v>0</v>
      </c>
      <c r="T15" s="268"/>
      <c r="U15" s="258"/>
      <c r="V15" s="259">
        <f t="shared" si="11"/>
        <v>0</v>
      </c>
      <c r="W15" s="257"/>
      <c r="X15" s="258"/>
      <c r="Y15" s="259">
        <f t="shared" si="12"/>
        <v>0</v>
      </c>
      <c r="Z15" s="257"/>
      <c r="AA15" s="258"/>
      <c r="AB15" s="259">
        <f t="shared" si="13"/>
        <v>0</v>
      </c>
      <c r="AC15" s="257"/>
      <c r="AD15" s="258"/>
      <c r="AE15" s="259">
        <f t="shared" si="14"/>
        <v>0</v>
      </c>
      <c r="AF15" s="257"/>
      <c r="AG15" s="258"/>
      <c r="AH15" s="259">
        <f t="shared" si="15"/>
        <v>0</v>
      </c>
      <c r="AI15" s="257"/>
      <c r="AJ15" s="258"/>
      <c r="AK15" s="259">
        <f t="shared" si="16"/>
        <v>0</v>
      </c>
      <c r="AL15" s="1032"/>
      <c r="AM15" s="260"/>
      <c r="AN15" s="1033">
        <f t="shared" si="17"/>
        <v>0</v>
      </c>
      <c r="AO15" s="257"/>
      <c r="AP15" s="258"/>
      <c r="AQ15" s="259"/>
      <c r="AR15" s="257"/>
      <c r="AS15" s="258"/>
      <c r="AT15" s="259">
        <f t="shared" si="19"/>
        <v>0</v>
      </c>
      <c r="AU15" s="257"/>
      <c r="AV15" s="258"/>
      <c r="AW15" s="259">
        <f t="shared" si="20"/>
        <v>0</v>
      </c>
      <c r="AX15" s="257"/>
      <c r="AY15" s="258"/>
      <c r="AZ15" s="1015">
        <f t="shared" si="2"/>
        <v>0</v>
      </c>
      <c r="BA15" s="257"/>
      <c r="BB15" s="258"/>
      <c r="BC15" s="259">
        <f t="shared" si="21"/>
        <v>0</v>
      </c>
      <c r="BD15" s="261"/>
      <c r="BE15" s="258"/>
      <c r="BF15" s="281"/>
      <c r="BG15" s="21">
        <v>909136</v>
      </c>
      <c r="BH15" s="22">
        <v>266300</v>
      </c>
      <c r="BI15" s="23">
        <f t="shared" si="22"/>
        <v>642836</v>
      </c>
      <c r="BJ15" s="1034"/>
      <c r="BK15" s="266"/>
      <c r="BL15" s="267">
        <f t="shared" si="23"/>
        <v>0</v>
      </c>
      <c r="BM15" s="1034"/>
      <c r="BN15" s="266"/>
      <c r="BO15" s="267">
        <f t="shared" si="24"/>
        <v>0</v>
      </c>
      <c r="BP15" s="257"/>
      <c r="BQ15" s="258"/>
      <c r="BR15" s="1140">
        <f t="shared" si="26"/>
        <v>0</v>
      </c>
      <c r="BS15" s="268">
        <f t="shared" si="3"/>
        <v>1277481</v>
      </c>
      <c r="BT15" s="258">
        <f t="shared" si="4"/>
        <v>582437</v>
      </c>
      <c r="BU15" s="259">
        <f t="shared" si="4"/>
        <v>695044</v>
      </c>
      <c r="BV15" s="257"/>
      <c r="BW15" s="258"/>
      <c r="BX15" s="267">
        <f t="shared" si="25"/>
        <v>0</v>
      </c>
      <c r="BY15" s="268">
        <f t="shared" si="5"/>
        <v>1277481</v>
      </c>
      <c r="BZ15" s="258">
        <f t="shared" si="6"/>
        <v>582437</v>
      </c>
      <c r="CA15" s="259">
        <f t="shared" si="6"/>
        <v>695044</v>
      </c>
    </row>
    <row r="16" spans="1:79" ht="16.5">
      <c r="A16" s="544" t="s">
        <v>275</v>
      </c>
      <c r="B16" s="254"/>
      <c r="C16" s="255"/>
      <c r="D16" s="256"/>
      <c r="E16" s="257"/>
      <c r="F16" s="258"/>
      <c r="G16" s="1015">
        <f t="shared" si="1"/>
        <v>0</v>
      </c>
      <c r="H16" s="257"/>
      <c r="I16" s="258"/>
      <c r="J16" s="259">
        <f t="shared" si="7"/>
        <v>0</v>
      </c>
      <c r="K16" s="257"/>
      <c r="L16" s="258"/>
      <c r="M16" s="264">
        <f t="shared" si="8"/>
        <v>0</v>
      </c>
      <c r="N16" s="257"/>
      <c r="O16" s="258"/>
      <c r="P16" s="259"/>
      <c r="Q16" s="257"/>
      <c r="R16" s="258"/>
      <c r="S16" s="259">
        <f t="shared" si="10"/>
        <v>0</v>
      </c>
      <c r="T16" s="268"/>
      <c r="U16" s="258"/>
      <c r="V16" s="259"/>
      <c r="W16" s="257"/>
      <c r="X16" s="258"/>
      <c r="Y16" s="259">
        <f t="shared" si="12"/>
        <v>0</v>
      </c>
      <c r="Z16" s="257"/>
      <c r="AA16" s="258"/>
      <c r="AB16" s="259">
        <f t="shared" si="13"/>
        <v>0</v>
      </c>
      <c r="AC16" s="257"/>
      <c r="AD16" s="258"/>
      <c r="AE16" s="259"/>
      <c r="AF16" s="257"/>
      <c r="AG16" s="258"/>
      <c r="AH16" s="259"/>
      <c r="AI16" s="257">
        <v>1142404</v>
      </c>
      <c r="AJ16" s="258">
        <v>406583</v>
      </c>
      <c r="AK16" s="259">
        <f t="shared" si="16"/>
        <v>735821</v>
      </c>
      <c r="AL16" s="1032"/>
      <c r="AM16" s="260"/>
      <c r="AN16" s="1033">
        <f t="shared" si="17"/>
        <v>0</v>
      </c>
      <c r="AO16" s="257"/>
      <c r="AP16" s="258"/>
      <c r="AQ16" s="259"/>
      <c r="AR16" s="704"/>
      <c r="AS16" s="705"/>
      <c r="AT16" s="1215"/>
      <c r="AU16" s="257"/>
      <c r="AV16" s="258"/>
      <c r="AW16" s="259"/>
      <c r="AX16" s="257"/>
      <c r="AY16" s="258"/>
      <c r="AZ16" s="1015">
        <f t="shared" si="2"/>
        <v>0</v>
      </c>
      <c r="BA16" s="257"/>
      <c r="BB16" s="258"/>
      <c r="BC16" s="259">
        <f t="shared" si="21"/>
        <v>0</v>
      </c>
      <c r="BD16" s="261"/>
      <c r="BE16" s="258"/>
      <c r="BF16" s="281"/>
      <c r="BG16" s="21">
        <v>384811</v>
      </c>
      <c r="BH16" s="22">
        <v>251368</v>
      </c>
      <c r="BI16" s="23">
        <f t="shared" si="22"/>
        <v>133443</v>
      </c>
      <c r="BJ16" s="1034"/>
      <c r="BK16" s="266"/>
      <c r="BL16" s="267">
        <f t="shared" si="23"/>
        <v>0</v>
      </c>
      <c r="BM16" s="1034"/>
      <c r="BN16" s="266"/>
      <c r="BO16" s="267">
        <f t="shared" si="24"/>
        <v>0</v>
      </c>
      <c r="BP16" s="257"/>
      <c r="BQ16" s="258"/>
      <c r="BR16" s="1140">
        <f t="shared" si="26"/>
        <v>0</v>
      </c>
      <c r="BS16" s="268">
        <f t="shared" si="3"/>
        <v>1527215</v>
      </c>
      <c r="BT16" s="258">
        <f t="shared" si="4"/>
        <v>657951</v>
      </c>
      <c r="BU16" s="259">
        <f t="shared" si="4"/>
        <v>869264</v>
      </c>
      <c r="BV16" s="257"/>
      <c r="BW16" s="258"/>
      <c r="BX16" s="267">
        <f t="shared" si="25"/>
        <v>0</v>
      </c>
      <c r="BY16" s="268">
        <f t="shared" si="5"/>
        <v>1527215</v>
      </c>
      <c r="BZ16" s="258">
        <f t="shared" si="6"/>
        <v>657951</v>
      </c>
      <c r="CA16" s="259">
        <f t="shared" si="6"/>
        <v>869264</v>
      </c>
    </row>
    <row r="17" spans="1:79" ht="16.5">
      <c r="A17" s="544" t="s">
        <v>276</v>
      </c>
      <c r="B17" s="254"/>
      <c r="C17" s="255"/>
      <c r="D17" s="256"/>
      <c r="E17" s="257"/>
      <c r="F17" s="258"/>
      <c r="G17" s="1015">
        <f t="shared" si="1"/>
        <v>0</v>
      </c>
      <c r="H17" s="257"/>
      <c r="I17" s="258"/>
      <c r="J17" s="259">
        <f t="shared" si="7"/>
        <v>0</v>
      </c>
      <c r="K17" s="257">
        <v>26893</v>
      </c>
      <c r="L17" s="258">
        <v>22093</v>
      </c>
      <c r="M17" s="264">
        <f t="shared" si="8"/>
        <v>4800</v>
      </c>
      <c r="N17" s="257"/>
      <c r="O17" s="258"/>
      <c r="P17" s="259"/>
      <c r="Q17" s="257"/>
      <c r="R17" s="258"/>
      <c r="S17" s="259">
        <f t="shared" si="10"/>
        <v>0</v>
      </c>
      <c r="T17" s="268"/>
      <c r="U17" s="258"/>
      <c r="V17" s="259"/>
      <c r="W17" s="257"/>
      <c r="X17" s="258"/>
      <c r="Y17" s="259">
        <f t="shared" si="12"/>
        <v>0</v>
      </c>
      <c r="Z17" s="257"/>
      <c r="AA17" s="258"/>
      <c r="AB17" s="259">
        <f t="shared" si="13"/>
        <v>0</v>
      </c>
      <c r="AC17" s="257"/>
      <c r="AD17" s="258"/>
      <c r="AE17" s="259"/>
      <c r="AF17" s="257"/>
      <c r="AG17" s="258"/>
      <c r="AH17" s="259"/>
      <c r="AI17" s="257"/>
      <c r="AJ17" s="258"/>
      <c r="AK17" s="259"/>
      <c r="AL17" s="1032">
        <v>15293</v>
      </c>
      <c r="AM17" s="260">
        <v>3970</v>
      </c>
      <c r="AN17" s="1033">
        <f t="shared" si="17"/>
        <v>11323</v>
      </c>
      <c r="AO17" s="257"/>
      <c r="AP17" s="258"/>
      <c r="AQ17" s="259"/>
      <c r="AR17" s="704"/>
      <c r="AS17" s="705"/>
      <c r="AT17" s="1215"/>
      <c r="AU17" s="257"/>
      <c r="AV17" s="258"/>
      <c r="AW17" s="259"/>
      <c r="AX17" s="257"/>
      <c r="AY17" s="258"/>
      <c r="AZ17" s="1015">
        <f t="shared" si="2"/>
        <v>0</v>
      </c>
      <c r="BA17" s="257"/>
      <c r="BB17" s="258"/>
      <c r="BC17" s="259">
        <f t="shared" si="21"/>
        <v>0</v>
      </c>
      <c r="BD17" s="261"/>
      <c r="BE17" s="258"/>
      <c r="BF17" s="281"/>
      <c r="BG17" s="21"/>
      <c r="BH17" s="22"/>
      <c r="BI17" s="23"/>
      <c r="BJ17" s="1034">
        <v>74154</v>
      </c>
      <c r="BK17" s="266">
        <v>32065</v>
      </c>
      <c r="BL17" s="267">
        <f t="shared" si="23"/>
        <v>42089</v>
      </c>
      <c r="BM17" s="1034"/>
      <c r="BN17" s="266"/>
      <c r="BO17" s="267">
        <f t="shared" si="24"/>
        <v>0</v>
      </c>
      <c r="BP17" s="257"/>
      <c r="BQ17" s="258"/>
      <c r="BR17" s="632"/>
      <c r="BS17" s="268">
        <f t="shared" si="3"/>
        <v>116340</v>
      </c>
      <c r="BT17" s="258">
        <f t="shared" si="4"/>
        <v>58128</v>
      </c>
      <c r="BU17" s="259">
        <f t="shared" si="4"/>
        <v>58212</v>
      </c>
      <c r="BV17" s="257"/>
      <c r="BW17" s="258"/>
      <c r="BX17" s="267">
        <f t="shared" si="25"/>
        <v>0</v>
      </c>
      <c r="BY17" s="268">
        <f t="shared" si="5"/>
        <v>116340</v>
      </c>
      <c r="BZ17" s="258">
        <f t="shared" si="6"/>
        <v>58128</v>
      </c>
      <c r="CA17" s="259">
        <f t="shared" si="6"/>
        <v>58212</v>
      </c>
    </row>
    <row r="18" spans="1:79" ht="16.5">
      <c r="A18" s="544" t="s">
        <v>277</v>
      </c>
      <c r="B18" s="254"/>
      <c r="C18" s="255"/>
      <c r="D18" s="256"/>
      <c r="E18" s="257"/>
      <c r="F18" s="258"/>
      <c r="G18" s="259"/>
      <c r="H18" s="257"/>
      <c r="I18" s="258"/>
      <c r="J18" s="259">
        <f t="shared" si="7"/>
        <v>0</v>
      </c>
      <c r="K18" s="257">
        <v>142863</v>
      </c>
      <c r="L18" s="258">
        <v>97894</v>
      </c>
      <c r="M18" s="264">
        <f t="shared" si="8"/>
        <v>44969</v>
      </c>
      <c r="N18" s="257"/>
      <c r="O18" s="258"/>
      <c r="P18" s="259"/>
      <c r="Q18" s="257"/>
      <c r="R18" s="258"/>
      <c r="S18" s="259">
        <f t="shared" si="10"/>
        <v>0</v>
      </c>
      <c r="T18" s="268"/>
      <c r="U18" s="258"/>
      <c r="V18" s="259"/>
      <c r="W18" s="257"/>
      <c r="X18" s="258"/>
      <c r="Y18" s="259">
        <f t="shared" si="12"/>
        <v>0</v>
      </c>
      <c r="Z18" s="257"/>
      <c r="AA18" s="258"/>
      <c r="AB18" s="259"/>
      <c r="AC18" s="257"/>
      <c r="AD18" s="258"/>
      <c r="AE18" s="259"/>
      <c r="AF18" s="257"/>
      <c r="AG18" s="258"/>
      <c r="AH18" s="259"/>
      <c r="AI18" s="257"/>
      <c r="AJ18" s="258"/>
      <c r="AK18" s="259"/>
      <c r="AL18" s="1032"/>
      <c r="AM18" s="260"/>
      <c r="AN18" s="1033">
        <f t="shared" si="17"/>
        <v>0</v>
      </c>
      <c r="AO18" s="257"/>
      <c r="AP18" s="258"/>
      <c r="AQ18" s="259"/>
      <c r="AR18" s="704"/>
      <c r="AS18" s="705"/>
      <c r="AT18" s="1215"/>
      <c r="AU18" s="257"/>
      <c r="AV18" s="258"/>
      <c r="AW18" s="259"/>
      <c r="AX18" s="257"/>
      <c r="AY18" s="258"/>
      <c r="AZ18" s="1015">
        <f t="shared" si="2"/>
        <v>0</v>
      </c>
      <c r="BA18" s="257"/>
      <c r="BB18" s="258"/>
      <c r="BC18" s="259"/>
      <c r="BD18" s="261"/>
      <c r="BE18" s="258"/>
      <c r="BF18" s="281"/>
      <c r="BG18" s="21"/>
      <c r="BH18" s="22"/>
      <c r="BI18" s="23"/>
      <c r="BJ18" s="1034"/>
      <c r="BK18" s="266"/>
      <c r="BL18" s="267"/>
      <c r="BM18" s="1034">
        <v>12921</v>
      </c>
      <c r="BN18" s="266">
        <v>6876</v>
      </c>
      <c r="BO18" s="267">
        <f t="shared" si="24"/>
        <v>6045</v>
      </c>
      <c r="BP18" s="257"/>
      <c r="BQ18" s="258"/>
      <c r="BR18" s="632"/>
      <c r="BS18" s="268">
        <f t="shared" si="3"/>
        <v>155784</v>
      </c>
      <c r="BT18" s="258">
        <f t="shared" si="4"/>
        <v>104770</v>
      </c>
      <c r="BU18" s="259">
        <f t="shared" si="4"/>
        <v>51014</v>
      </c>
      <c r="BV18" s="257"/>
      <c r="BW18" s="258"/>
      <c r="BX18" s="267">
        <f t="shared" si="25"/>
        <v>0</v>
      </c>
      <c r="BY18" s="268">
        <f t="shared" si="5"/>
        <v>155784</v>
      </c>
      <c r="BZ18" s="258">
        <f t="shared" si="6"/>
        <v>104770</v>
      </c>
      <c r="CA18" s="259">
        <f t="shared" si="6"/>
        <v>51014</v>
      </c>
    </row>
    <row r="19" spans="1:79" ht="16.5">
      <c r="A19" s="544" t="s">
        <v>278</v>
      </c>
      <c r="B19" s="254"/>
      <c r="C19" s="255"/>
      <c r="D19" s="256"/>
      <c r="E19" s="257"/>
      <c r="F19" s="258"/>
      <c r="G19" s="259"/>
      <c r="H19" s="257"/>
      <c r="I19" s="258"/>
      <c r="J19" s="259">
        <f t="shared" si="7"/>
        <v>0</v>
      </c>
      <c r="K19" s="257">
        <v>23371</v>
      </c>
      <c r="L19" s="258">
        <v>9099</v>
      </c>
      <c r="M19" s="264">
        <f t="shared" si="8"/>
        <v>14272</v>
      </c>
      <c r="N19" s="257"/>
      <c r="O19" s="258"/>
      <c r="P19" s="259"/>
      <c r="Q19" s="257"/>
      <c r="R19" s="258"/>
      <c r="S19" s="259">
        <f t="shared" si="10"/>
        <v>0</v>
      </c>
      <c r="T19" s="268"/>
      <c r="U19" s="258"/>
      <c r="V19" s="259"/>
      <c r="W19" s="257"/>
      <c r="X19" s="258"/>
      <c r="Y19" s="259">
        <f t="shared" si="12"/>
        <v>0</v>
      </c>
      <c r="Z19" s="257"/>
      <c r="AA19" s="258"/>
      <c r="AB19" s="259"/>
      <c r="AC19" s="257"/>
      <c r="AD19" s="258"/>
      <c r="AE19" s="259"/>
      <c r="AF19" s="257"/>
      <c r="AG19" s="258"/>
      <c r="AH19" s="259"/>
      <c r="AI19" s="257"/>
      <c r="AJ19" s="258"/>
      <c r="AK19" s="259"/>
      <c r="AL19" s="1032"/>
      <c r="AM19" s="260"/>
      <c r="AN19" s="1033"/>
      <c r="AO19" s="257"/>
      <c r="AP19" s="258"/>
      <c r="AQ19" s="259"/>
      <c r="AR19" s="704"/>
      <c r="AS19" s="705"/>
      <c r="AT19" s="1215"/>
      <c r="AU19" s="257"/>
      <c r="AV19" s="258"/>
      <c r="AW19" s="259"/>
      <c r="AX19" s="257"/>
      <c r="AY19" s="258"/>
      <c r="AZ19" s="1015">
        <f t="shared" si="2"/>
        <v>0</v>
      </c>
      <c r="BA19" s="257"/>
      <c r="BB19" s="258"/>
      <c r="BC19" s="259"/>
      <c r="BD19" s="261"/>
      <c r="BE19" s="258"/>
      <c r="BF19" s="281"/>
      <c r="BG19" s="21"/>
      <c r="BH19" s="22"/>
      <c r="BI19" s="23"/>
      <c r="BJ19" s="1034"/>
      <c r="BK19" s="266"/>
      <c r="BL19" s="267"/>
      <c r="BM19" s="1034"/>
      <c r="BN19" s="266"/>
      <c r="BO19" s="267"/>
      <c r="BP19" s="257"/>
      <c r="BQ19" s="258"/>
      <c r="BR19" s="632"/>
      <c r="BS19" s="268">
        <f t="shared" si="3"/>
        <v>23371</v>
      </c>
      <c r="BT19" s="258">
        <f t="shared" si="4"/>
        <v>9099</v>
      </c>
      <c r="BU19" s="259">
        <f t="shared" si="4"/>
        <v>14272</v>
      </c>
      <c r="BV19" s="257">
        <f>144685+25931+3773</f>
        <v>174389</v>
      </c>
      <c r="BW19" s="258">
        <f>124187+25574+3043</f>
        <v>152804</v>
      </c>
      <c r="BX19" s="267">
        <f t="shared" si="25"/>
        <v>21585</v>
      </c>
      <c r="BY19" s="268">
        <f t="shared" si="5"/>
        <v>197760</v>
      </c>
      <c r="BZ19" s="258">
        <f t="shared" si="6"/>
        <v>161903</v>
      </c>
      <c r="CA19" s="259">
        <f t="shared" si="6"/>
        <v>35857</v>
      </c>
    </row>
    <row r="20" spans="1:79" ht="16.5">
      <c r="A20" s="544" t="s">
        <v>75</v>
      </c>
      <c r="B20" s="254"/>
      <c r="C20" s="255"/>
      <c r="D20" s="256"/>
      <c r="E20" s="257"/>
      <c r="F20" s="258"/>
      <c r="G20" s="259"/>
      <c r="H20" s="257"/>
      <c r="I20" s="258"/>
      <c r="J20" s="259"/>
      <c r="K20" s="257"/>
      <c r="L20" s="258"/>
      <c r="M20" s="264">
        <f t="shared" si="8"/>
        <v>0</v>
      </c>
      <c r="N20" s="257"/>
      <c r="O20" s="258"/>
      <c r="P20" s="259"/>
      <c r="Q20" s="257">
        <v>12771</v>
      </c>
      <c r="R20" s="258">
        <v>12070</v>
      </c>
      <c r="S20" s="259">
        <f t="shared" si="10"/>
        <v>701</v>
      </c>
      <c r="T20" s="268"/>
      <c r="U20" s="258"/>
      <c r="V20" s="259"/>
      <c r="W20" s="257"/>
      <c r="X20" s="258"/>
      <c r="Y20" s="259"/>
      <c r="Z20" s="257"/>
      <c r="AA20" s="258"/>
      <c r="AB20" s="259"/>
      <c r="AC20" s="257"/>
      <c r="AD20" s="258"/>
      <c r="AE20" s="259"/>
      <c r="AF20" s="257"/>
      <c r="AG20" s="258"/>
      <c r="AH20" s="259"/>
      <c r="AI20" s="257"/>
      <c r="AJ20" s="258"/>
      <c r="AK20" s="259"/>
      <c r="AL20" s="1032"/>
      <c r="AM20" s="260"/>
      <c r="AN20" s="1033"/>
      <c r="AO20" s="257"/>
      <c r="AP20" s="258"/>
      <c r="AQ20" s="259"/>
      <c r="AR20" s="704"/>
      <c r="AS20" s="705"/>
      <c r="AT20" s="1215"/>
      <c r="AU20" s="257"/>
      <c r="AV20" s="258"/>
      <c r="AW20" s="259"/>
      <c r="AX20" s="257"/>
      <c r="AY20" s="258"/>
      <c r="AZ20" s="1015">
        <f t="shared" si="2"/>
        <v>0</v>
      </c>
      <c r="BA20" s="257"/>
      <c r="BB20" s="258"/>
      <c r="BC20" s="259"/>
      <c r="BD20" s="261"/>
      <c r="BE20" s="258"/>
      <c r="BF20" s="281"/>
      <c r="BG20" s="21"/>
      <c r="BH20" s="22"/>
      <c r="BI20" s="23"/>
      <c r="BJ20" s="1034"/>
      <c r="BK20" s="266"/>
      <c r="BL20" s="267"/>
      <c r="BM20" s="1034"/>
      <c r="BN20" s="266"/>
      <c r="BO20" s="267"/>
      <c r="BP20" s="257"/>
      <c r="BQ20" s="258"/>
      <c r="BR20" s="632"/>
      <c r="BS20" s="268">
        <f t="shared" si="3"/>
        <v>12771</v>
      </c>
      <c r="BT20" s="258">
        <f t="shared" si="4"/>
        <v>12070</v>
      </c>
      <c r="BU20" s="259">
        <f t="shared" si="4"/>
        <v>701</v>
      </c>
      <c r="BV20" s="257">
        <f>5607+545954+711520+686+1421024+18737</f>
        <v>2703528</v>
      </c>
      <c r="BW20" s="258">
        <f>5434+372192+519373+563+1272849+17132</f>
        <v>2187543</v>
      </c>
      <c r="BX20" s="267">
        <f t="shared" si="25"/>
        <v>515985</v>
      </c>
      <c r="BY20" s="268">
        <f t="shared" si="5"/>
        <v>2716299</v>
      </c>
      <c r="BZ20" s="258">
        <f t="shared" si="6"/>
        <v>2199613</v>
      </c>
      <c r="CA20" s="259">
        <f t="shared" si="6"/>
        <v>516686</v>
      </c>
    </row>
    <row r="21" spans="1:79" ht="16.5">
      <c r="A21" s="1220" t="s">
        <v>54</v>
      </c>
      <c r="B21" s="254">
        <f>SUM(B5:B20)</f>
        <v>3765301</v>
      </c>
      <c r="C21" s="254">
        <f aca="true" t="shared" si="27" ref="C21:J21">SUM(C5:C20)</f>
        <v>2961280</v>
      </c>
      <c r="D21" s="254">
        <f t="shared" si="27"/>
        <v>804021</v>
      </c>
      <c r="E21" s="254">
        <f t="shared" si="27"/>
        <v>1295299</v>
      </c>
      <c r="F21" s="254">
        <f t="shared" si="27"/>
        <v>1014041</v>
      </c>
      <c r="G21" s="254">
        <f t="shared" si="27"/>
        <v>281258</v>
      </c>
      <c r="H21" s="254">
        <f t="shared" si="27"/>
        <v>1479710</v>
      </c>
      <c r="I21" s="254">
        <f t="shared" si="27"/>
        <v>1376554</v>
      </c>
      <c r="J21" s="254">
        <f t="shared" si="27"/>
        <v>103156</v>
      </c>
      <c r="K21" s="254">
        <f aca="true" t="shared" si="28" ref="K21:AP21">SUM(K5:K20)</f>
        <v>5032851</v>
      </c>
      <c r="L21" s="254">
        <f t="shared" si="28"/>
        <v>1963467</v>
      </c>
      <c r="M21" s="254">
        <f t="shared" si="28"/>
        <v>3069384</v>
      </c>
      <c r="N21" s="254">
        <f t="shared" si="28"/>
        <v>965135</v>
      </c>
      <c r="O21" s="254">
        <f t="shared" si="28"/>
        <v>755402</v>
      </c>
      <c r="P21" s="254">
        <f t="shared" si="28"/>
        <v>209733</v>
      </c>
      <c r="Q21" s="254">
        <f t="shared" si="28"/>
        <v>1421575</v>
      </c>
      <c r="R21" s="254">
        <f t="shared" si="28"/>
        <v>1305351</v>
      </c>
      <c r="S21" s="254">
        <f t="shared" si="28"/>
        <v>116224</v>
      </c>
      <c r="T21" s="254">
        <f t="shared" si="28"/>
        <v>1196122</v>
      </c>
      <c r="U21" s="254">
        <f t="shared" si="28"/>
        <v>753149</v>
      </c>
      <c r="V21" s="254">
        <f t="shared" si="28"/>
        <v>442973</v>
      </c>
      <c r="W21" s="254">
        <f t="shared" si="28"/>
        <v>1748398</v>
      </c>
      <c r="X21" s="254">
        <f t="shared" si="28"/>
        <v>787171</v>
      </c>
      <c r="Y21" s="254">
        <f t="shared" si="28"/>
        <v>961227</v>
      </c>
      <c r="Z21" s="254">
        <f t="shared" si="28"/>
        <v>1809092</v>
      </c>
      <c r="AA21" s="254">
        <f t="shared" si="28"/>
        <v>1451835</v>
      </c>
      <c r="AB21" s="254">
        <f t="shared" si="28"/>
        <v>357257</v>
      </c>
      <c r="AC21" s="254">
        <f t="shared" si="28"/>
        <v>1329083</v>
      </c>
      <c r="AD21" s="254">
        <f t="shared" si="28"/>
        <v>721785</v>
      </c>
      <c r="AE21" s="254">
        <f t="shared" si="28"/>
        <v>607298</v>
      </c>
      <c r="AF21" s="254">
        <f t="shared" si="28"/>
        <v>7344709</v>
      </c>
      <c r="AG21" s="254">
        <f t="shared" si="28"/>
        <v>4164308</v>
      </c>
      <c r="AH21" s="254">
        <f t="shared" si="28"/>
        <v>3180401</v>
      </c>
      <c r="AI21" s="254">
        <f t="shared" si="28"/>
        <v>8242496</v>
      </c>
      <c r="AJ21" s="254">
        <f t="shared" si="28"/>
        <v>3654922</v>
      </c>
      <c r="AK21" s="254">
        <f t="shared" si="28"/>
        <v>4587574</v>
      </c>
      <c r="AL21" s="254">
        <f t="shared" si="28"/>
        <v>2184895</v>
      </c>
      <c r="AM21" s="254">
        <f t="shared" si="28"/>
        <v>795551</v>
      </c>
      <c r="AN21" s="254">
        <f t="shared" si="28"/>
        <v>1389344</v>
      </c>
      <c r="AO21" s="254">
        <f t="shared" si="28"/>
        <v>1100637</v>
      </c>
      <c r="AP21" s="254">
        <f t="shared" si="28"/>
        <v>872634</v>
      </c>
      <c r="AQ21" s="254">
        <f aca="true" t="shared" si="29" ref="AQ21:BV21">SUM(AQ5:AQ20)</f>
        <v>228003</v>
      </c>
      <c r="AR21" s="254">
        <f t="shared" si="29"/>
        <v>3332543</v>
      </c>
      <c r="AS21" s="254">
        <f t="shared" si="29"/>
        <v>2640109</v>
      </c>
      <c r="AT21" s="254">
        <f t="shared" si="29"/>
        <v>692434</v>
      </c>
      <c r="AU21" s="254">
        <f t="shared" si="29"/>
        <v>8014820</v>
      </c>
      <c r="AV21" s="254">
        <f t="shared" si="29"/>
        <v>5992913</v>
      </c>
      <c r="AW21" s="254">
        <f t="shared" si="29"/>
        <v>2021907</v>
      </c>
      <c r="AX21" s="254">
        <f t="shared" si="29"/>
        <v>2738281</v>
      </c>
      <c r="AY21" s="254">
        <f t="shared" si="29"/>
        <v>1907761</v>
      </c>
      <c r="AZ21" s="254">
        <f t="shared" si="29"/>
        <v>830520</v>
      </c>
      <c r="BA21" s="254">
        <f t="shared" si="29"/>
        <v>1607988</v>
      </c>
      <c r="BB21" s="254">
        <f t="shared" si="29"/>
        <v>1297757</v>
      </c>
      <c r="BC21" s="254">
        <f t="shared" si="29"/>
        <v>310231</v>
      </c>
      <c r="BD21" s="254">
        <f t="shared" si="29"/>
        <v>0</v>
      </c>
      <c r="BE21" s="254">
        <f t="shared" si="29"/>
        <v>0</v>
      </c>
      <c r="BF21" s="254">
        <f t="shared" si="29"/>
        <v>0</v>
      </c>
      <c r="BG21" s="76">
        <f t="shared" si="29"/>
        <v>10208089</v>
      </c>
      <c r="BH21" s="76">
        <f t="shared" si="29"/>
        <v>4586150</v>
      </c>
      <c r="BI21" s="76">
        <f t="shared" si="29"/>
        <v>5621939</v>
      </c>
      <c r="BJ21" s="254">
        <f t="shared" si="29"/>
        <v>1174416</v>
      </c>
      <c r="BK21" s="254">
        <f t="shared" si="29"/>
        <v>563713</v>
      </c>
      <c r="BL21" s="254">
        <f t="shared" si="29"/>
        <v>610703</v>
      </c>
      <c r="BM21" s="254">
        <f t="shared" si="29"/>
        <v>1156838</v>
      </c>
      <c r="BN21" s="254">
        <f t="shared" si="29"/>
        <v>1007362</v>
      </c>
      <c r="BO21" s="254">
        <f t="shared" si="29"/>
        <v>149476</v>
      </c>
      <c r="BP21" s="254">
        <f t="shared" si="29"/>
        <v>5147004</v>
      </c>
      <c r="BQ21" s="254">
        <f t="shared" si="29"/>
        <v>3251413</v>
      </c>
      <c r="BR21" s="1171">
        <f t="shared" si="29"/>
        <v>1895591</v>
      </c>
      <c r="BS21" s="254">
        <f t="shared" si="29"/>
        <v>71072508</v>
      </c>
      <c r="BT21" s="254">
        <f t="shared" si="29"/>
        <v>42834289</v>
      </c>
      <c r="BU21" s="1175">
        <f t="shared" si="29"/>
        <v>28238219</v>
      </c>
      <c r="BV21" s="254">
        <f t="shared" si="29"/>
        <v>55260232</v>
      </c>
      <c r="BW21" s="254">
        <f>SUM(BW5:BW20)</f>
        <v>29279960</v>
      </c>
      <c r="BX21" s="254">
        <f>SUM(BX5:BX20)</f>
        <v>25980272</v>
      </c>
      <c r="BY21" s="254">
        <f>SUM(BY5:BY20)</f>
        <v>126332740</v>
      </c>
      <c r="BZ21" s="254">
        <f>SUM(BZ5:BZ20)</f>
        <v>72114249</v>
      </c>
      <c r="CA21" s="254">
        <f>SUM(CA5:CA20)</f>
        <v>54218491</v>
      </c>
    </row>
    <row r="22" spans="1:79" ht="16.5">
      <c r="A22" s="544" t="s">
        <v>279</v>
      </c>
      <c r="B22" s="1035"/>
      <c r="C22" s="280"/>
      <c r="D22" s="281">
        <v>71008</v>
      </c>
      <c r="E22" s="279"/>
      <c r="F22" s="280"/>
      <c r="G22" s="281">
        <v>71733</v>
      </c>
      <c r="H22" s="279">
        <v>6199</v>
      </c>
      <c r="I22" s="280"/>
      <c r="J22" s="281">
        <v>6199</v>
      </c>
      <c r="K22" s="279">
        <v>157131</v>
      </c>
      <c r="L22" s="280"/>
      <c r="M22" s="264">
        <v>157131</v>
      </c>
      <c r="N22" s="279"/>
      <c r="O22" s="280"/>
      <c r="P22" s="281">
        <v>29910</v>
      </c>
      <c r="Q22" s="279">
        <v>31209</v>
      </c>
      <c r="R22" s="280"/>
      <c r="S22" s="281">
        <v>31209</v>
      </c>
      <c r="T22" s="1035"/>
      <c r="U22" s="280"/>
      <c r="V22" s="281">
        <v>50422</v>
      </c>
      <c r="W22" s="279">
        <v>13281</v>
      </c>
      <c r="X22" s="280"/>
      <c r="Y22" s="281">
        <v>13281</v>
      </c>
      <c r="Z22" s="279"/>
      <c r="AA22" s="280"/>
      <c r="AB22" s="281">
        <v>9590</v>
      </c>
      <c r="AC22" s="279"/>
      <c r="AD22" s="280"/>
      <c r="AE22" s="281">
        <v>12818</v>
      </c>
      <c r="AF22" s="279">
        <v>231734</v>
      </c>
      <c r="AG22" s="280"/>
      <c r="AH22" s="281">
        <v>231734</v>
      </c>
      <c r="AI22" s="279"/>
      <c r="AJ22" s="280"/>
      <c r="AK22" s="281">
        <v>95492</v>
      </c>
      <c r="AL22" s="279"/>
      <c r="AM22" s="280"/>
      <c r="AN22" s="281"/>
      <c r="AO22" s="279">
        <v>16938</v>
      </c>
      <c r="AP22" s="280"/>
      <c r="AQ22" s="281">
        <v>16938</v>
      </c>
      <c r="AR22" s="279"/>
      <c r="AS22" s="280"/>
      <c r="AT22" s="281">
        <v>59366</v>
      </c>
      <c r="AU22" s="279"/>
      <c r="AV22" s="280"/>
      <c r="AW22" s="281">
        <v>135200</v>
      </c>
      <c r="AX22" s="279"/>
      <c r="AY22" s="280"/>
      <c r="AZ22" s="281">
        <v>188993</v>
      </c>
      <c r="BA22" s="279"/>
      <c r="BB22" s="280"/>
      <c r="BC22" s="281">
        <v>119337</v>
      </c>
      <c r="BD22" s="279"/>
      <c r="BE22" s="280"/>
      <c r="BF22" s="281"/>
      <c r="BG22" s="21">
        <v>382543</v>
      </c>
      <c r="BH22" s="42"/>
      <c r="BI22" s="23">
        <v>382543</v>
      </c>
      <c r="BJ22" s="279">
        <f>14814+1131</f>
        <v>15945</v>
      </c>
      <c r="BK22" s="280"/>
      <c r="BL22" s="281">
        <v>15945</v>
      </c>
      <c r="BM22" s="279">
        <f>14838+8383</f>
        <v>23221</v>
      </c>
      <c r="BN22" s="280"/>
      <c r="BO22" s="281">
        <v>23221</v>
      </c>
      <c r="BP22" s="279"/>
      <c r="BQ22" s="280"/>
      <c r="BR22" s="1172">
        <v>50373</v>
      </c>
      <c r="BS22" s="268">
        <f aca="true" t="shared" si="30" ref="BS22:BU23">B22+E22+H22+K22+N22+Q22+T22+W22+Z22+AC22+AF22+AI22+AL22+AO22+AR22+AU22+AX22+BA22+BD22+BG22+BJ22+BM22+BP22</f>
        <v>878201</v>
      </c>
      <c r="BT22" s="258">
        <f t="shared" si="30"/>
        <v>0</v>
      </c>
      <c r="BU22" s="259">
        <f t="shared" si="30"/>
        <v>1772443</v>
      </c>
      <c r="BV22" s="279">
        <v>2534048</v>
      </c>
      <c r="BW22" s="280"/>
      <c r="BX22" s="281"/>
      <c r="BY22" s="268">
        <f aca="true" t="shared" si="31" ref="BY22:CA23">BS22+BV22</f>
        <v>3412249</v>
      </c>
      <c r="BZ22" s="258">
        <f t="shared" si="31"/>
        <v>0</v>
      </c>
      <c r="CA22" s="259">
        <f t="shared" si="31"/>
        <v>1772443</v>
      </c>
    </row>
    <row r="23" spans="1:79" s="957" customFormat="1" ht="17.25">
      <c r="A23" s="1042" t="s">
        <v>2</v>
      </c>
      <c r="B23" s="1043">
        <f aca="true" t="shared" si="32" ref="B23:H23">B21+B22</f>
        <v>3765301</v>
      </c>
      <c r="C23" s="1044">
        <f t="shared" si="32"/>
        <v>2961280</v>
      </c>
      <c r="D23" s="1045">
        <f t="shared" si="32"/>
        <v>875029</v>
      </c>
      <c r="E23" s="1046">
        <f t="shared" si="32"/>
        <v>1295299</v>
      </c>
      <c r="F23" s="1044">
        <f t="shared" si="32"/>
        <v>1014041</v>
      </c>
      <c r="G23" s="1045">
        <f t="shared" si="32"/>
        <v>352991</v>
      </c>
      <c r="H23" s="1046">
        <f t="shared" si="32"/>
        <v>1485909</v>
      </c>
      <c r="I23" s="1044">
        <f aca="true" t="shared" si="33" ref="I23:BI23">I21+I22</f>
        <v>1376554</v>
      </c>
      <c r="J23" s="1045">
        <f t="shared" si="33"/>
        <v>109355</v>
      </c>
      <c r="K23" s="1046">
        <f t="shared" si="33"/>
        <v>5189982</v>
      </c>
      <c r="L23" s="1044">
        <f t="shared" si="33"/>
        <v>1963467</v>
      </c>
      <c r="M23" s="1045">
        <f t="shared" si="33"/>
        <v>3226515</v>
      </c>
      <c r="N23" s="1046">
        <f t="shared" si="33"/>
        <v>965135</v>
      </c>
      <c r="O23" s="1044">
        <f t="shared" si="33"/>
        <v>755402</v>
      </c>
      <c r="P23" s="1045">
        <f t="shared" si="33"/>
        <v>239643</v>
      </c>
      <c r="Q23" s="1046">
        <f t="shared" si="33"/>
        <v>1452784</v>
      </c>
      <c r="R23" s="1044">
        <f t="shared" si="33"/>
        <v>1305351</v>
      </c>
      <c r="S23" s="1045">
        <f t="shared" si="33"/>
        <v>147433</v>
      </c>
      <c r="T23" s="1043">
        <f t="shared" si="33"/>
        <v>1196122</v>
      </c>
      <c r="U23" s="1044">
        <f t="shared" si="33"/>
        <v>753149</v>
      </c>
      <c r="V23" s="1045">
        <f t="shared" si="33"/>
        <v>493395</v>
      </c>
      <c r="W23" s="1046">
        <f t="shared" si="33"/>
        <v>1761679</v>
      </c>
      <c r="X23" s="1044">
        <f t="shared" si="33"/>
        <v>787171</v>
      </c>
      <c r="Y23" s="1045">
        <f t="shared" si="33"/>
        <v>974508</v>
      </c>
      <c r="Z23" s="1046">
        <f t="shared" si="33"/>
        <v>1809092</v>
      </c>
      <c r="AA23" s="1044">
        <f t="shared" si="33"/>
        <v>1451835</v>
      </c>
      <c r="AB23" s="1045">
        <f t="shared" si="33"/>
        <v>366847</v>
      </c>
      <c r="AC23" s="1046">
        <f t="shared" si="33"/>
        <v>1329083</v>
      </c>
      <c r="AD23" s="1044">
        <f t="shared" si="33"/>
        <v>721785</v>
      </c>
      <c r="AE23" s="1045">
        <f t="shared" si="33"/>
        <v>620116</v>
      </c>
      <c r="AF23" s="1046">
        <f t="shared" si="33"/>
        <v>7576443</v>
      </c>
      <c r="AG23" s="1044">
        <f t="shared" si="33"/>
        <v>4164308</v>
      </c>
      <c r="AH23" s="1045">
        <f t="shared" si="33"/>
        <v>3412135</v>
      </c>
      <c r="AI23" s="1046">
        <f t="shared" si="33"/>
        <v>8242496</v>
      </c>
      <c r="AJ23" s="1044">
        <f t="shared" si="33"/>
        <v>3654922</v>
      </c>
      <c r="AK23" s="1045">
        <f t="shared" si="33"/>
        <v>4683066</v>
      </c>
      <c r="AL23" s="1046">
        <f t="shared" si="33"/>
        <v>2184895</v>
      </c>
      <c r="AM23" s="1044">
        <f t="shared" si="33"/>
        <v>795551</v>
      </c>
      <c r="AN23" s="1045">
        <f t="shared" si="33"/>
        <v>1389344</v>
      </c>
      <c r="AO23" s="1046">
        <f t="shared" si="33"/>
        <v>1117575</v>
      </c>
      <c r="AP23" s="1044">
        <f t="shared" si="33"/>
        <v>872634</v>
      </c>
      <c r="AQ23" s="1045">
        <f t="shared" si="33"/>
        <v>244941</v>
      </c>
      <c r="AR23" s="1046">
        <f t="shared" si="33"/>
        <v>3332543</v>
      </c>
      <c r="AS23" s="1044">
        <f t="shared" si="33"/>
        <v>2640109</v>
      </c>
      <c r="AT23" s="1045">
        <f t="shared" si="33"/>
        <v>751800</v>
      </c>
      <c r="AU23" s="1046">
        <f t="shared" si="33"/>
        <v>8014820</v>
      </c>
      <c r="AV23" s="1044">
        <f t="shared" si="33"/>
        <v>5992913</v>
      </c>
      <c r="AW23" s="1045">
        <f t="shared" si="33"/>
        <v>2157107</v>
      </c>
      <c r="AX23" s="1046">
        <f t="shared" si="33"/>
        <v>2738281</v>
      </c>
      <c r="AY23" s="1044">
        <f t="shared" si="33"/>
        <v>1907761</v>
      </c>
      <c r="AZ23" s="1045">
        <f>AZ21+AZ22</f>
        <v>1019513</v>
      </c>
      <c r="BA23" s="1046">
        <f>BA21+BA22</f>
        <v>1607988</v>
      </c>
      <c r="BB23" s="1044">
        <f t="shared" si="33"/>
        <v>1297757</v>
      </c>
      <c r="BC23" s="1045">
        <f t="shared" si="33"/>
        <v>429568</v>
      </c>
      <c r="BD23" s="1046">
        <f t="shared" si="33"/>
        <v>0</v>
      </c>
      <c r="BE23" s="1044">
        <f t="shared" si="33"/>
        <v>0</v>
      </c>
      <c r="BF23" s="1045">
        <f t="shared" si="33"/>
        <v>0</v>
      </c>
      <c r="BG23" s="1165">
        <f t="shared" si="33"/>
        <v>10590632</v>
      </c>
      <c r="BH23" s="1165">
        <f t="shared" si="33"/>
        <v>4586150</v>
      </c>
      <c r="BI23" s="1165">
        <f t="shared" si="33"/>
        <v>6004482</v>
      </c>
      <c r="BJ23" s="1046">
        <f>BJ21+BJ22</f>
        <v>1190361</v>
      </c>
      <c r="BK23" s="1044">
        <f>BK21+BK22</f>
        <v>563713</v>
      </c>
      <c r="BL23" s="1045">
        <f aca="true" t="shared" si="34" ref="BL23:BR23">BL21+BL22</f>
        <v>626648</v>
      </c>
      <c r="BM23" s="1046">
        <f t="shared" si="34"/>
        <v>1180059</v>
      </c>
      <c r="BN23" s="1044">
        <f t="shared" si="34"/>
        <v>1007362</v>
      </c>
      <c r="BO23" s="1045">
        <f t="shared" si="34"/>
        <v>172697</v>
      </c>
      <c r="BP23" s="1046">
        <f t="shared" si="34"/>
        <v>5147004</v>
      </c>
      <c r="BQ23" s="1044">
        <f t="shared" si="34"/>
        <v>3251413</v>
      </c>
      <c r="BR23" s="1173">
        <f t="shared" si="34"/>
        <v>1945964</v>
      </c>
      <c r="BS23" s="1049">
        <f t="shared" si="30"/>
        <v>73173483</v>
      </c>
      <c r="BT23" s="1047">
        <f t="shared" si="30"/>
        <v>43824628</v>
      </c>
      <c r="BU23" s="1048">
        <f t="shared" si="30"/>
        <v>30243097</v>
      </c>
      <c r="BV23" s="1046">
        <f>BV21+BV22</f>
        <v>57794280</v>
      </c>
      <c r="BW23" s="1044">
        <f>BW21+BW22</f>
        <v>29279960</v>
      </c>
      <c r="BX23" s="1045">
        <f>BX21+BX22</f>
        <v>25980272</v>
      </c>
      <c r="BY23" s="1049">
        <f t="shared" si="31"/>
        <v>130967763</v>
      </c>
      <c r="BZ23" s="1047">
        <f t="shared" si="31"/>
        <v>73104588</v>
      </c>
      <c r="CA23" s="1048">
        <f t="shared" si="31"/>
        <v>56223369</v>
      </c>
    </row>
    <row r="24" spans="1:79" ht="17.25">
      <c r="A24" s="545" t="s">
        <v>285</v>
      </c>
      <c r="B24" s="1035"/>
      <c r="C24" s="280"/>
      <c r="D24" s="281"/>
      <c r="E24" s="279"/>
      <c r="F24" s="280"/>
      <c r="G24" s="281"/>
      <c r="H24" s="279"/>
      <c r="I24" s="280"/>
      <c r="J24" s="281"/>
      <c r="K24" s="279"/>
      <c r="L24" s="280"/>
      <c r="M24" s="1036"/>
      <c r="N24" s="279"/>
      <c r="O24" s="280"/>
      <c r="P24" s="281"/>
      <c r="Q24" s="279"/>
      <c r="R24" s="280"/>
      <c r="S24" s="281"/>
      <c r="T24" s="1035"/>
      <c r="U24" s="280"/>
      <c r="V24" s="281"/>
      <c r="W24" s="279"/>
      <c r="X24" s="280"/>
      <c r="Y24" s="281"/>
      <c r="Z24" s="279"/>
      <c r="AA24" s="280"/>
      <c r="AB24" s="281"/>
      <c r="AC24" s="279"/>
      <c r="AD24" s="280"/>
      <c r="AE24" s="281"/>
      <c r="AF24" s="279"/>
      <c r="AG24" s="280"/>
      <c r="AH24" s="281"/>
      <c r="AI24" s="279"/>
      <c r="AJ24" s="280"/>
      <c r="AK24" s="281"/>
      <c r="AL24" s="279"/>
      <c r="AM24" s="280"/>
      <c r="AN24" s="281"/>
      <c r="AO24" s="279"/>
      <c r="AP24" s="280"/>
      <c r="AQ24" s="281"/>
      <c r="AR24" s="279"/>
      <c r="AS24" s="280"/>
      <c r="AT24" s="281"/>
      <c r="AU24" s="279"/>
      <c r="AV24" s="280"/>
      <c r="AW24" s="281"/>
      <c r="AX24" s="279"/>
      <c r="AY24" s="280"/>
      <c r="AZ24" s="281"/>
      <c r="BA24" s="279"/>
      <c r="BB24" s="280"/>
      <c r="BC24" s="281"/>
      <c r="BD24" s="279"/>
      <c r="BE24" s="280"/>
      <c r="BF24" s="281"/>
      <c r="BG24" s="1166"/>
      <c r="BH24" s="1167"/>
      <c r="BI24" s="1168"/>
      <c r="BJ24" s="279"/>
      <c r="BK24" s="280"/>
      <c r="BL24" s="281"/>
      <c r="BM24" s="279"/>
      <c r="BN24" s="280"/>
      <c r="BO24" s="281"/>
      <c r="BP24" s="279"/>
      <c r="BQ24" s="280"/>
      <c r="BR24" s="1172"/>
      <c r="BS24" s="278"/>
      <c r="BT24" s="274"/>
      <c r="BU24" s="275"/>
      <c r="BV24" s="279"/>
      <c r="BW24" s="280"/>
      <c r="BX24" s="281"/>
      <c r="BY24" s="278"/>
      <c r="BZ24" s="274"/>
      <c r="CA24" s="275"/>
    </row>
    <row r="25" spans="1:79" ht="17.25" thickBot="1">
      <c r="A25" s="546" t="s">
        <v>280</v>
      </c>
      <c r="B25" s="1037"/>
      <c r="C25" s="1038"/>
      <c r="D25" s="1039"/>
      <c r="E25" s="1040"/>
      <c r="F25" s="1038"/>
      <c r="G25" s="1039"/>
      <c r="H25" s="1040"/>
      <c r="I25" s="1038"/>
      <c r="J25" s="1039"/>
      <c r="K25" s="1040"/>
      <c r="L25" s="1038"/>
      <c r="M25" s="1041"/>
      <c r="N25" s="1040"/>
      <c r="O25" s="1038"/>
      <c r="P25" s="1039"/>
      <c r="Q25" s="1040"/>
      <c r="R25" s="1038"/>
      <c r="S25" s="1039"/>
      <c r="T25" s="1037"/>
      <c r="U25" s="1038"/>
      <c r="V25" s="1039"/>
      <c r="W25" s="1040"/>
      <c r="X25" s="1038"/>
      <c r="Y25" s="1039"/>
      <c r="Z25" s="1040"/>
      <c r="AA25" s="1038"/>
      <c r="AB25" s="1039"/>
      <c r="AC25" s="1040"/>
      <c r="AD25" s="1038"/>
      <c r="AE25" s="1039"/>
      <c r="AF25" s="1040"/>
      <c r="AG25" s="1038"/>
      <c r="AH25" s="1039"/>
      <c r="AI25" s="1040"/>
      <c r="AJ25" s="1038"/>
      <c r="AK25" s="1039"/>
      <c r="AL25" s="1040"/>
      <c r="AM25" s="1038"/>
      <c r="AN25" s="1039"/>
      <c r="AO25" s="1040"/>
      <c r="AP25" s="1038"/>
      <c r="AQ25" s="1039"/>
      <c r="AR25" s="1040"/>
      <c r="AS25" s="1038"/>
      <c r="AT25" s="1039"/>
      <c r="AU25" s="1040"/>
      <c r="AV25" s="1038"/>
      <c r="AW25" s="1039"/>
      <c r="AX25" s="1040"/>
      <c r="AY25" s="1038"/>
      <c r="AZ25" s="1039"/>
      <c r="BA25" s="1040"/>
      <c r="BB25" s="1038"/>
      <c r="BC25" s="1039"/>
      <c r="BD25" s="1040"/>
      <c r="BE25" s="1038"/>
      <c r="BF25" s="1039"/>
      <c r="BG25" s="1169"/>
      <c r="BH25" s="318"/>
      <c r="BI25" s="319"/>
      <c r="BJ25" s="1040"/>
      <c r="BK25" s="1038"/>
      <c r="BL25" s="1039"/>
      <c r="BM25" s="1040"/>
      <c r="BN25" s="1038"/>
      <c r="BO25" s="1039"/>
      <c r="BP25" s="1040"/>
      <c r="BQ25" s="1038"/>
      <c r="BR25" s="1174"/>
      <c r="BS25" s="1037"/>
      <c r="BT25" s="1038"/>
      <c r="BU25" s="1039"/>
      <c r="BV25" s="1040"/>
      <c r="BW25" s="1038"/>
      <c r="BX25" s="1039"/>
      <c r="BY25" s="1037"/>
      <c r="BZ25" s="1038"/>
      <c r="CA25" s="1039"/>
    </row>
  </sheetData>
  <sheetProtection/>
  <mergeCells count="28">
    <mergeCell ref="A1:BZ1"/>
    <mergeCell ref="A2:BZ2"/>
    <mergeCell ref="B3:D3"/>
    <mergeCell ref="E3:G3"/>
    <mergeCell ref="H3:J3"/>
    <mergeCell ref="K3:M3"/>
    <mergeCell ref="N3:P3"/>
    <mergeCell ref="Q3:S3"/>
    <mergeCell ref="T3:V3"/>
    <mergeCell ref="BM3:BO3"/>
    <mergeCell ref="BP3:BR3"/>
    <mergeCell ref="W3:Y3"/>
    <mergeCell ref="Z3:AB3"/>
    <mergeCell ref="AC3:AE3"/>
    <mergeCell ref="AF3:AH3"/>
    <mergeCell ref="AI3:AK3"/>
    <mergeCell ref="AL3:AN3"/>
    <mergeCell ref="AO3:AQ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BJ3:BL3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BA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I16" sqref="AI16"/>
    </sheetView>
  </sheetViews>
  <sheetFormatPr defaultColWidth="9.140625" defaultRowHeight="15"/>
  <cols>
    <col min="1" max="1" width="68.00390625" style="144" bestFit="1" customWidth="1"/>
    <col min="2" max="53" width="18.7109375" style="144" bestFit="1" customWidth="1"/>
    <col min="54" max="16384" width="9.140625" style="144" customWidth="1"/>
  </cols>
  <sheetData>
    <row r="1" spans="1:53" ht="61.5" customHeight="1" thickBot="1">
      <c r="A1" s="1051" t="s">
        <v>304</v>
      </c>
      <c r="B1" s="1996" t="s">
        <v>187</v>
      </c>
      <c r="C1" s="1997"/>
      <c r="D1" s="1993" t="s">
        <v>188</v>
      </c>
      <c r="E1" s="1994"/>
      <c r="F1" s="1993" t="s">
        <v>189</v>
      </c>
      <c r="G1" s="1994"/>
      <c r="H1" s="1995" t="s">
        <v>190</v>
      </c>
      <c r="I1" s="1994"/>
      <c r="J1" s="1993" t="s">
        <v>191</v>
      </c>
      <c r="K1" s="1994"/>
      <c r="L1" s="1993" t="s">
        <v>192</v>
      </c>
      <c r="M1" s="1994"/>
      <c r="N1" s="1993" t="s">
        <v>193</v>
      </c>
      <c r="O1" s="1994"/>
      <c r="P1" s="1991" t="s">
        <v>194</v>
      </c>
      <c r="Q1" s="1992"/>
      <c r="R1" s="1998" t="s">
        <v>195</v>
      </c>
      <c r="S1" s="1991"/>
      <c r="T1" s="1993" t="s">
        <v>196</v>
      </c>
      <c r="U1" s="1994"/>
      <c r="V1" s="1993" t="s">
        <v>197</v>
      </c>
      <c r="W1" s="1994"/>
      <c r="X1" s="1995" t="s">
        <v>198</v>
      </c>
      <c r="Y1" s="1994"/>
      <c r="Z1" s="1993" t="s">
        <v>199</v>
      </c>
      <c r="AA1" s="1994"/>
      <c r="AB1" s="1993" t="s">
        <v>200</v>
      </c>
      <c r="AC1" s="1995"/>
      <c r="AD1" s="1883" t="s">
        <v>201</v>
      </c>
      <c r="AE1" s="1884"/>
      <c r="AF1" s="1993" t="s">
        <v>202</v>
      </c>
      <c r="AG1" s="1995"/>
      <c r="AH1" s="1993" t="s">
        <v>203</v>
      </c>
      <c r="AI1" s="1994"/>
      <c r="AJ1" s="1993" t="s">
        <v>204</v>
      </c>
      <c r="AK1" s="1994"/>
      <c r="AL1" s="1883" t="s">
        <v>205</v>
      </c>
      <c r="AM1" s="1884"/>
      <c r="AN1" s="1993" t="s">
        <v>206</v>
      </c>
      <c r="AO1" s="1994"/>
      <c r="AP1" s="1993" t="s">
        <v>207</v>
      </c>
      <c r="AQ1" s="1994"/>
      <c r="AR1" s="1993" t="s">
        <v>208</v>
      </c>
      <c r="AS1" s="1995"/>
      <c r="AT1" s="1993" t="s">
        <v>209</v>
      </c>
      <c r="AU1" s="1994"/>
      <c r="AV1" s="2003" t="s">
        <v>1</v>
      </c>
      <c r="AW1" s="2004"/>
      <c r="AX1" s="2001" t="s">
        <v>210</v>
      </c>
      <c r="AY1" s="2002"/>
      <c r="AZ1" s="1999" t="s">
        <v>2</v>
      </c>
      <c r="BA1" s="2000"/>
    </row>
    <row r="2" spans="1:53" s="854" customFormat="1" ht="15" thickBot="1">
      <c r="A2" s="1418" t="s">
        <v>0</v>
      </c>
      <c r="B2" s="1411" t="s">
        <v>449</v>
      </c>
      <c r="C2" s="1412" t="s">
        <v>450</v>
      </c>
      <c r="D2" s="1429" t="s">
        <v>449</v>
      </c>
      <c r="E2" s="1435" t="s">
        <v>450</v>
      </c>
      <c r="F2" s="1435" t="s">
        <v>449</v>
      </c>
      <c r="G2" s="1435" t="s">
        <v>450</v>
      </c>
      <c r="H2" s="1435" t="s">
        <v>449</v>
      </c>
      <c r="I2" s="1435" t="s">
        <v>450</v>
      </c>
      <c r="J2" s="1435" t="s">
        <v>449</v>
      </c>
      <c r="K2" s="1435" t="s">
        <v>450</v>
      </c>
      <c r="L2" s="1435" t="s">
        <v>449</v>
      </c>
      <c r="M2" s="1435" t="s">
        <v>450</v>
      </c>
      <c r="N2" s="1435" t="s">
        <v>449</v>
      </c>
      <c r="O2" s="1435" t="s">
        <v>450</v>
      </c>
      <c r="P2" s="1435" t="s">
        <v>449</v>
      </c>
      <c r="Q2" s="1435" t="s">
        <v>450</v>
      </c>
      <c r="R2" s="1435" t="s">
        <v>449</v>
      </c>
      <c r="S2" s="1435" t="s">
        <v>450</v>
      </c>
      <c r="T2" s="1435" t="s">
        <v>449</v>
      </c>
      <c r="U2" s="1435" t="s">
        <v>450</v>
      </c>
      <c r="V2" s="1435" t="s">
        <v>449</v>
      </c>
      <c r="W2" s="1435" t="s">
        <v>450</v>
      </c>
      <c r="X2" s="1435" t="s">
        <v>449</v>
      </c>
      <c r="Y2" s="1435" t="s">
        <v>450</v>
      </c>
      <c r="Z2" s="1435" t="s">
        <v>449</v>
      </c>
      <c r="AA2" s="1435" t="s">
        <v>450</v>
      </c>
      <c r="AB2" s="1435" t="s">
        <v>449</v>
      </c>
      <c r="AC2" s="1418" t="s">
        <v>450</v>
      </c>
      <c r="AD2" s="896" t="s">
        <v>449</v>
      </c>
      <c r="AE2" s="896" t="s">
        <v>450</v>
      </c>
      <c r="AF2" s="1429" t="s">
        <v>449</v>
      </c>
      <c r="AG2" s="1435" t="s">
        <v>450</v>
      </c>
      <c r="AH2" s="1435" t="s">
        <v>449</v>
      </c>
      <c r="AI2" s="1435" t="s">
        <v>450</v>
      </c>
      <c r="AJ2" s="1435" t="s">
        <v>449</v>
      </c>
      <c r="AK2" s="1435" t="s">
        <v>450</v>
      </c>
      <c r="AL2" s="1435" t="s">
        <v>449</v>
      </c>
      <c r="AM2" s="1435" t="s">
        <v>450</v>
      </c>
      <c r="AN2" s="1435" t="s">
        <v>449</v>
      </c>
      <c r="AO2" s="1435" t="s">
        <v>450</v>
      </c>
      <c r="AP2" s="1435" t="s">
        <v>449</v>
      </c>
      <c r="AQ2" s="1435" t="s">
        <v>450</v>
      </c>
      <c r="AR2" s="1435" t="s">
        <v>449</v>
      </c>
      <c r="AS2" s="1435" t="s">
        <v>450</v>
      </c>
      <c r="AT2" s="1418" t="s">
        <v>449</v>
      </c>
      <c r="AU2" s="1429" t="s">
        <v>450</v>
      </c>
      <c r="AV2" s="1435" t="s">
        <v>449</v>
      </c>
      <c r="AW2" s="1435" t="s">
        <v>450</v>
      </c>
      <c r="AX2" s="1435" t="s">
        <v>449</v>
      </c>
      <c r="AY2" s="1418" t="s">
        <v>450</v>
      </c>
      <c r="AZ2" s="1447" t="s">
        <v>449</v>
      </c>
      <c r="BA2" s="1448" t="s">
        <v>450</v>
      </c>
    </row>
    <row r="3" spans="1:53" ht="14.25">
      <c r="A3" s="1419" t="s">
        <v>286</v>
      </c>
      <c r="B3" s="1421">
        <v>280854</v>
      </c>
      <c r="C3" s="1071">
        <v>330588</v>
      </c>
      <c r="D3" s="1430">
        <v>38098</v>
      </c>
      <c r="E3" s="1436">
        <v>30898</v>
      </c>
      <c r="F3" s="1430">
        <v>6236</v>
      </c>
      <c r="G3" s="1436">
        <v>2858</v>
      </c>
      <c r="H3" s="1430">
        <v>281812</v>
      </c>
      <c r="I3" s="1436">
        <v>137985</v>
      </c>
      <c r="J3" s="1430">
        <v>82473</v>
      </c>
      <c r="K3" s="1436">
        <v>85891</v>
      </c>
      <c r="L3" s="1430">
        <v>6487</v>
      </c>
      <c r="M3" s="1436">
        <v>26288</v>
      </c>
      <c r="N3" s="1430">
        <v>67323</v>
      </c>
      <c r="O3" s="1436">
        <v>99629</v>
      </c>
      <c r="P3" s="1430">
        <v>10305</v>
      </c>
      <c r="Q3" s="1436">
        <v>37618</v>
      </c>
      <c r="R3" s="1430">
        <v>11315</v>
      </c>
      <c r="S3" s="1436">
        <v>9335</v>
      </c>
      <c r="T3" s="1430">
        <v>70109</v>
      </c>
      <c r="U3" s="1436">
        <v>31759</v>
      </c>
      <c r="V3" s="1430">
        <v>311648</v>
      </c>
      <c r="W3" s="1436">
        <v>413508</v>
      </c>
      <c r="X3" s="1430">
        <v>344029</v>
      </c>
      <c r="Y3" s="1436">
        <v>287914</v>
      </c>
      <c r="Z3" s="1430">
        <v>1466</v>
      </c>
      <c r="AA3" s="1436">
        <v>1942</v>
      </c>
      <c r="AB3" s="1430">
        <v>12376</v>
      </c>
      <c r="AC3" s="1436">
        <v>1920</v>
      </c>
      <c r="AD3" s="1458">
        <v>205257</v>
      </c>
      <c r="AE3" s="696">
        <v>253965</v>
      </c>
      <c r="AF3" s="1440">
        <v>347987</v>
      </c>
      <c r="AG3" s="1436">
        <v>286292</v>
      </c>
      <c r="AH3" s="1430">
        <v>272634</v>
      </c>
      <c r="AI3" s="1436">
        <v>175953</v>
      </c>
      <c r="AJ3" s="1430">
        <v>246050</v>
      </c>
      <c r="AK3" s="1436">
        <v>155693</v>
      </c>
      <c r="AL3" s="1430"/>
      <c r="AM3" s="1431"/>
      <c r="AN3" s="1440">
        <v>544062</v>
      </c>
      <c r="AO3" s="1436">
        <v>596551</v>
      </c>
      <c r="AP3" s="1430">
        <v>109572</v>
      </c>
      <c r="AQ3" s="1436">
        <v>93250</v>
      </c>
      <c r="AR3" s="1430">
        <v>37978</v>
      </c>
      <c r="AS3" s="1431">
        <v>2520</v>
      </c>
      <c r="AT3" s="1440">
        <v>362181</v>
      </c>
      <c r="AU3" s="1436">
        <v>193941</v>
      </c>
      <c r="AV3" s="1444">
        <f>SUM(B3+D3+F3+H3+J3+L3+N3+P3+R3+T3+V3+X3+Z3+AB3+AD3+AF3+AH3+AJ3+AL3+AN3+AP3+AR3+AT3)</f>
        <v>3650252</v>
      </c>
      <c r="AW3" s="1445">
        <f>SUM(C3+E3+G3+I3+K3+M3+O3+Q3+S3+U3+W3+Y3+AA3+AC3+AE3+AG3+AI3+AK3+AM3+AO3+AQ3+AS3+AU3)</f>
        <v>3256298</v>
      </c>
      <c r="AX3" s="1440">
        <v>33302</v>
      </c>
      <c r="AY3" s="1431">
        <v>46583</v>
      </c>
      <c r="AZ3" s="1449">
        <f>AV3+AX3</f>
        <v>3683554</v>
      </c>
      <c r="BA3" s="1445">
        <f>AW3+AY3</f>
        <v>3302881</v>
      </c>
    </row>
    <row r="4" spans="1:53" ht="14.25">
      <c r="A4" s="775" t="s">
        <v>287</v>
      </c>
      <c r="B4" s="1162"/>
      <c r="C4" s="188"/>
      <c r="D4" s="1162"/>
      <c r="E4" s="188"/>
      <c r="F4" s="1162"/>
      <c r="G4" s="188"/>
      <c r="H4" s="1162"/>
      <c r="I4" s="188"/>
      <c r="J4" s="1162"/>
      <c r="K4" s="188"/>
      <c r="L4" s="1162"/>
      <c r="M4" s="188"/>
      <c r="N4" s="1162"/>
      <c r="O4" s="188"/>
      <c r="P4" s="1162"/>
      <c r="Q4" s="188"/>
      <c r="R4" s="1162"/>
      <c r="S4" s="188"/>
      <c r="T4" s="1162"/>
      <c r="U4" s="188"/>
      <c r="V4" s="1162"/>
      <c r="W4" s="188"/>
      <c r="X4" s="1162"/>
      <c r="Y4" s="188"/>
      <c r="Z4" s="1162"/>
      <c r="AA4" s="188"/>
      <c r="AB4" s="1162"/>
      <c r="AC4" s="188"/>
      <c r="AD4" s="1162"/>
      <c r="AE4" s="143"/>
      <c r="AF4" s="698"/>
      <c r="AG4" s="188"/>
      <c r="AH4" s="1162"/>
      <c r="AI4" s="188"/>
      <c r="AJ4" s="1162"/>
      <c r="AK4" s="188"/>
      <c r="AL4" s="1162"/>
      <c r="AM4" s="143"/>
      <c r="AN4" s="698"/>
      <c r="AO4" s="188"/>
      <c r="AP4" s="1162"/>
      <c r="AQ4" s="188"/>
      <c r="AR4" s="1162"/>
      <c r="AS4" s="143"/>
      <c r="AT4" s="698"/>
      <c r="AU4" s="188"/>
      <c r="AV4" s="1368"/>
      <c r="AW4" s="1370"/>
      <c r="AX4" s="698"/>
      <c r="AY4" s="143"/>
      <c r="AZ4" s="1450"/>
      <c r="BA4" s="1370"/>
    </row>
    <row r="5" spans="1:53" ht="14.25">
      <c r="A5" s="775" t="s">
        <v>288</v>
      </c>
      <c r="B5" s="1162"/>
      <c r="C5" s="188"/>
      <c r="D5" s="1162"/>
      <c r="E5" s="188"/>
      <c r="F5" s="1162"/>
      <c r="G5" s="188"/>
      <c r="H5" s="1162"/>
      <c r="I5" s="188"/>
      <c r="J5" s="1162"/>
      <c r="K5" s="188"/>
      <c r="L5" s="1162"/>
      <c r="M5" s="188"/>
      <c r="N5" s="1162"/>
      <c r="O5" s="188"/>
      <c r="P5" s="1162"/>
      <c r="Q5" s="188"/>
      <c r="R5" s="1162"/>
      <c r="S5" s="188"/>
      <c r="T5" s="1162"/>
      <c r="U5" s="188"/>
      <c r="V5" s="1162"/>
      <c r="W5" s="188"/>
      <c r="X5" s="1162"/>
      <c r="Y5" s="188"/>
      <c r="Z5" s="1162"/>
      <c r="AA5" s="188"/>
      <c r="AB5" s="1162"/>
      <c r="AC5" s="188"/>
      <c r="AD5" s="1162"/>
      <c r="AE5" s="143"/>
      <c r="AF5" s="698"/>
      <c r="AG5" s="188"/>
      <c r="AH5" s="1162"/>
      <c r="AI5" s="188"/>
      <c r="AJ5" s="1162"/>
      <c r="AK5" s="188"/>
      <c r="AL5" s="1162"/>
      <c r="AM5" s="143"/>
      <c r="AN5" s="698"/>
      <c r="AO5" s="188"/>
      <c r="AP5" s="1162"/>
      <c r="AQ5" s="188"/>
      <c r="AR5" s="1162"/>
      <c r="AS5" s="143"/>
      <c r="AT5" s="698"/>
      <c r="AU5" s="188"/>
      <c r="AV5" s="1368"/>
      <c r="AW5" s="1370"/>
      <c r="AX5" s="698"/>
      <c r="AY5" s="143"/>
      <c r="AZ5" s="1450"/>
      <c r="BA5" s="1370"/>
    </row>
    <row r="6" spans="1:53" ht="14.25">
      <c r="A6" s="775" t="s">
        <v>289</v>
      </c>
      <c r="B6" s="1421">
        <v>1468352</v>
      </c>
      <c r="C6" s="1071">
        <v>1376320</v>
      </c>
      <c r="D6" s="1162"/>
      <c r="E6" s="188"/>
      <c r="F6" s="1162">
        <v>208800</v>
      </c>
      <c r="G6" s="188">
        <v>117609</v>
      </c>
      <c r="H6" s="1162"/>
      <c r="I6" s="188"/>
      <c r="J6" s="1162">
        <v>65500</v>
      </c>
      <c r="K6" s="188">
        <v>94800</v>
      </c>
      <c r="L6" s="1162"/>
      <c r="M6" s="188"/>
      <c r="N6" s="1162"/>
      <c r="O6" s="188"/>
      <c r="P6" s="1162"/>
      <c r="Q6" s="188"/>
      <c r="R6" s="1162">
        <v>493500</v>
      </c>
      <c r="S6" s="188">
        <v>323525</v>
      </c>
      <c r="T6" s="1162"/>
      <c r="U6" s="188"/>
      <c r="V6" s="1162"/>
      <c r="W6" s="188"/>
      <c r="X6" s="1162"/>
      <c r="Y6" s="188"/>
      <c r="Z6" s="1162"/>
      <c r="AA6" s="188"/>
      <c r="AB6" s="1162"/>
      <c r="AC6" s="188"/>
      <c r="AD6" s="1162"/>
      <c r="AE6" s="143"/>
      <c r="AF6" s="698"/>
      <c r="AG6" s="188"/>
      <c r="AH6" s="1162">
        <v>337000</v>
      </c>
      <c r="AI6" s="188">
        <v>321650</v>
      </c>
      <c r="AJ6" s="1162">
        <v>994</v>
      </c>
      <c r="AK6" s="188">
        <v>3582</v>
      </c>
      <c r="AL6" s="1162"/>
      <c r="AM6" s="143"/>
      <c r="AN6" s="698">
        <v>3142900</v>
      </c>
      <c r="AO6" s="188">
        <v>1830000</v>
      </c>
      <c r="AP6" s="1162"/>
      <c r="AQ6" s="188"/>
      <c r="AR6" s="1162"/>
      <c r="AS6" s="143"/>
      <c r="AT6" s="698">
        <v>6195</v>
      </c>
      <c r="AU6" s="188">
        <v>5351</v>
      </c>
      <c r="AV6" s="1368">
        <f aca="true" t="shared" si="0" ref="AV6:AV21">SUM(B6+D6+F6+H6+J6+L6+N6+P6+R6+T6+V6+X6+Z6+AB6+AD6+AF6+AH6+AJ6+AL6+AN6+AP6+AR6+AT6)</f>
        <v>5723241</v>
      </c>
      <c r="AW6" s="1370">
        <f aca="true" t="shared" si="1" ref="AW6:AW21">SUM(C6+E6+G6+I6+K6+M6+O6+Q6+S6+U6+W6+Y6+AA6+AC6+AE6+AG6+AI6+AK6+AM6+AO6+AQ6+AS6+AU6)</f>
        <v>4072837</v>
      </c>
      <c r="AX6" s="698">
        <v>9925703</v>
      </c>
      <c r="AY6" s="143">
        <v>12550568</v>
      </c>
      <c r="AZ6" s="1450">
        <f aca="true" t="shared" si="2" ref="AZ6:AZ21">AV6+AX6</f>
        <v>15648944</v>
      </c>
      <c r="BA6" s="1370">
        <f aca="true" t="shared" si="3" ref="BA6:BA21">AW6+AY6</f>
        <v>16623405</v>
      </c>
    </row>
    <row r="7" spans="1:53" ht="14.25">
      <c r="A7" s="775" t="s">
        <v>290</v>
      </c>
      <c r="B7" s="1421">
        <v>2500</v>
      </c>
      <c r="C7" s="1071"/>
      <c r="D7" s="1162">
        <v>228252</v>
      </c>
      <c r="E7" s="188">
        <v>229633</v>
      </c>
      <c r="F7" s="1162">
        <v>52500</v>
      </c>
      <c r="G7" s="188">
        <v>2591</v>
      </c>
      <c r="H7" s="1162"/>
      <c r="I7" s="188"/>
      <c r="J7" s="1162"/>
      <c r="K7" s="188"/>
      <c r="L7" s="1162"/>
      <c r="M7" s="188"/>
      <c r="N7" s="1162">
        <v>100</v>
      </c>
      <c r="O7" s="188">
        <v>100</v>
      </c>
      <c r="P7" s="1162">
        <v>657</v>
      </c>
      <c r="Q7" s="188">
        <v>54</v>
      </c>
      <c r="R7" s="1162">
        <v>861453</v>
      </c>
      <c r="S7" s="188">
        <v>644733</v>
      </c>
      <c r="T7" s="1162"/>
      <c r="U7" s="188"/>
      <c r="V7" s="1162">
        <v>3525</v>
      </c>
      <c r="W7" s="188">
        <v>843086</v>
      </c>
      <c r="X7" s="1162"/>
      <c r="Y7" s="188"/>
      <c r="Z7" s="1162"/>
      <c r="AA7" s="188"/>
      <c r="AB7" s="1162"/>
      <c r="AC7" s="188"/>
      <c r="AD7" s="1162">
        <v>9798</v>
      </c>
      <c r="AE7" s="143">
        <v>373331</v>
      </c>
      <c r="AF7" s="698"/>
      <c r="AG7" s="188"/>
      <c r="AH7" s="1162">
        <v>597</v>
      </c>
      <c r="AI7" s="188">
        <v>617</v>
      </c>
      <c r="AJ7" s="1162">
        <v>160095</v>
      </c>
      <c r="AK7" s="188">
        <v>157500</v>
      </c>
      <c r="AL7" s="1162"/>
      <c r="AM7" s="143"/>
      <c r="AN7" s="698">
        <v>11628200</v>
      </c>
      <c r="AO7" s="188">
        <v>13531100</v>
      </c>
      <c r="AP7" s="1162"/>
      <c r="AQ7" s="188"/>
      <c r="AR7" s="1162"/>
      <c r="AS7" s="143"/>
      <c r="AT7" s="698">
        <v>3379</v>
      </c>
      <c r="AU7" s="188">
        <v>3850</v>
      </c>
      <c r="AV7" s="1368">
        <f t="shared" si="0"/>
        <v>12951056</v>
      </c>
      <c r="AW7" s="1370">
        <f t="shared" si="1"/>
        <v>15786595</v>
      </c>
      <c r="AX7" s="698">
        <v>14747038</v>
      </c>
      <c r="AY7" s="143">
        <v>7634512</v>
      </c>
      <c r="AZ7" s="1450">
        <f t="shared" si="2"/>
        <v>27698094</v>
      </c>
      <c r="BA7" s="1370">
        <f t="shared" si="3"/>
        <v>23421107</v>
      </c>
    </row>
    <row r="8" spans="1:53" ht="14.25">
      <c r="A8" s="775" t="s">
        <v>291</v>
      </c>
      <c r="B8" s="1421">
        <v>2339970</v>
      </c>
      <c r="C8" s="1071">
        <v>178810</v>
      </c>
      <c r="D8" s="1162"/>
      <c r="E8" s="188"/>
      <c r="F8" s="1162">
        <v>147290</v>
      </c>
      <c r="G8" s="188">
        <v>207853</v>
      </c>
      <c r="H8" s="1162">
        <v>1255112</v>
      </c>
      <c r="I8" s="188">
        <v>1350119</v>
      </c>
      <c r="J8" s="1162">
        <v>485085</v>
      </c>
      <c r="K8" s="188">
        <v>572388</v>
      </c>
      <c r="L8" s="1162">
        <v>994577</v>
      </c>
      <c r="M8" s="188">
        <v>853086</v>
      </c>
      <c r="N8" s="1162">
        <v>478637</v>
      </c>
      <c r="O8" s="188">
        <v>218069</v>
      </c>
      <c r="P8" s="1162">
        <v>295831</v>
      </c>
      <c r="Q8" s="188">
        <v>227196</v>
      </c>
      <c r="R8" s="1162"/>
      <c r="S8" s="188"/>
      <c r="T8" s="1162">
        <v>204327</v>
      </c>
      <c r="U8" s="188">
        <v>202304</v>
      </c>
      <c r="V8" s="1162">
        <v>1728456</v>
      </c>
      <c r="W8" s="188">
        <v>2065191</v>
      </c>
      <c r="X8" s="1162">
        <v>627763</v>
      </c>
      <c r="Y8" s="188">
        <v>6045306</v>
      </c>
      <c r="Z8" s="1162">
        <v>554045</v>
      </c>
      <c r="AA8" s="188">
        <v>635423</v>
      </c>
      <c r="AB8" s="1162">
        <v>599498</v>
      </c>
      <c r="AC8" s="188">
        <v>308162</v>
      </c>
      <c r="AD8" s="1162"/>
      <c r="AE8" s="143"/>
      <c r="AF8" s="698">
        <v>2475301</v>
      </c>
      <c r="AG8" s="188">
        <v>1877234</v>
      </c>
      <c r="AH8" s="1162">
        <v>1005961</v>
      </c>
      <c r="AI8" s="188">
        <v>728338</v>
      </c>
      <c r="AJ8" s="1162">
        <v>1505923</v>
      </c>
      <c r="AK8" s="188">
        <v>659370</v>
      </c>
      <c r="AL8" s="1162"/>
      <c r="AM8" s="143"/>
      <c r="AN8" s="698">
        <v>562424</v>
      </c>
      <c r="AO8" s="188">
        <v>623662</v>
      </c>
      <c r="AP8" s="1162">
        <v>434537</v>
      </c>
      <c r="AQ8" s="188">
        <v>812095</v>
      </c>
      <c r="AR8" s="1162">
        <v>494095</v>
      </c>
      <c r="AS8" s="143">
        <v>183350</v>
      </c>
      <c r="AT8" s="698">
        <v>1106306</v>
      </c>
      <c r="AU8" s="188">
        <v>541880</v>
      </c>
      <c r="AV8" s="1368">
        <f t="shared" si="0"/>
        <v>17295138</v>
      </c>
      <c r="AW8" s="1370">
        <f t="shared" si="1"/>
        <v>18289836</v>
      </c>
      <c r="AX8" s="698">
        <v>61413892</v>
      </c>
      <c r="AY8" s="143">
        <v>54982366</v>
      </c>
      <c r="AZ8" s="1450">
        <f t="shared" si="2"/>
        <v>78709030</v>
      </c>
      <c r="BA8" s="1370">
        <f t="shared" si="3"/>
        <v>73272202</v>
      </c>
    </row>
    <row r="9" spans="1:53" ht="14.25">
      <c r="A9" s="775" t="s">
        <v>292</v>
      </c>
      <c r="B9" s="1421"/>
      <c r="C9" s="1071"/>
      <c r="D9" s="1162"/>
      <c r="E9" s="188"/>
      <c r="F9" s="1421"/>
      <c r="G9" s="1071"/>
      <c r="H9" s="1162"/>
      <c r="I9" s="188"/>
      <c r="J9" s="1162"/>
      <c r="K9" s="188"/>
      <c r="L9" s="1162"/>
      <c r="M9" s="188"/>
      <c r="N9" s="1162"/>
      <c r="O9" s="188"/>
      <c r="P9" s="1162"/>
      <c r="Q9" s="188"/>
      <c r="R9" s="1162"/>
      <c r="S9" s="188"/>
      <c r="T9" s="1162"/>
      <c r="U9" s="188"/>
      <c r="V9" s="1162"/>
      <c r="W9" s="188"/>
      <c r="X9" s="1162"/>
      <c r="Y9" s="188"/>
      <c r="Z9" s="1162">
        <v>1252</v>
      </c>
      <c r="AA9" s="188">
        <v>1158</v>
      </c>
      <c r="AB9" s="1162"/>
      <c r="AC9" s="188"/>
      <c r="AD9" s="1162"/>
      <c r="AE9" s="143"/>
      <c r="AF9" s="698"/>
      <c r="AG9" s="188"/>
      <c r="AH9" s="1162"/>
      <c r="AI9" s="188"/>
      <c r="AJ9" s="1162"/>
      <c r="AK9" s="188"/>
      <c r="AL9" s="1162"/>
      <c r="AM9" s="143"/>
      <c r="AN9" s="698">
        <v>33600</v>
      </c>
      <c r="AO9" s="188">
        <v>840100</v>
      </c>
      <c r="AP9" s="1162"/>
      <c r="AQ9" s="188"/>
      <c r="AR9" s="1162"/>
      <c r="AS9" s="143"/>
      <c r="AT9" s="698"/>
      <c r="AU9" s="188"/>
      <c r="AV9" s="1368">
        <f t="shared" si="0"/>
        <v>34852</v>
      </c>
      <c r="AW9" s="1370">
        <f t="shared" si="1"/>
        <v>841258</v>
      </c>
      <c r="AX9" s="698"/>
      <c r="AY9" s="143"/>
      <c r="AZ9" s="1450">
        <f t="shared" si="2"/>
        <v>34852</v>
      </c>
      <c r="BA9" s="1370">
        <f t="shared" si="3"/>
        <v>841258</v>
      </c>
    </row>
    <row r="10" spans="1:53" ht="14.25">
      <c r="A10" s="775" t="s">
        <v>293</v>
      </c>
      <c r="B10" s="1422"/>
      <c r="C10" s="1072"/>
      <c r="D10" s="1162"/>
      <c r="E10" s="188"/>
      <c r="F10" s="1423"/>
      <c r="G10" s="1073"/>
      <c r="H10" s="1162"/>
      <c r="I10" s="188"/>
      <c r="J10" s="1162"/>
      <c r="K10" s="188"/>
      <c r="L10" s="1162"/>
      <c r="M10" s="188"/>
      <c r="N10" s="1162"/>
      <c r="O10" s="188"/>
      <c r="P10" s="1162"/>
      <c r="Q10" s="188"/>
      <c r="R10" s="1162"/>
      <c r="S10" s="188"/>
      <c r="T10" s="1162"/>
      <c r="U10" s="188"/>
      <c r="V10" s="1162"/>
      <c r="W10" s="188"/>
      <c r="X10" s="1162">
        <v>6421</v>
      </c>
      <c r="Y10" s="188">
        <v>4583</v>
      </c>
      <c r="Z10" s="1162"/>
      <c r="AA10" s="188"/>
      <c r="AB10" s="1162"/>
      <c r="AC10" s="188"/>
      <c r="AD10" s="1162"/>
      <c r="AE10" s="143"/>
      <c r="AF10" s="698"/>
      <c r="AG10" s="188"/>
      <c r="AH10" s="1162"/>
      <c r="AI10" s="188"/>
      <c r="AJ10" s="1162"/>
      <c r="AK10" s="188"/>
      <c r="AL10" s="1162"/>
      <c r="AM10" s="143"/>
      <c r="AN10" s="698">
        <v>915</v>
      </c>
      <c r="AO10" s="188">
        <v>503</v>
      </c>
      <c r="AP10" s="1162"/>
      <c r="AQ10" s="188"/>
      <c r="AR10" s="1162"/>
      <c r="AS10" s="143"/>
      <c r="AT10" s="698"/>
      <c r="AU10" s="188"/>
      <c r="AV10" s="1368">
        <f t="shared" si="0"/>
        <v>7336</v>
      </c>
      <c r="AW10" s="1370">
        <f t="shared" si="1"/>
        <v>5086</v>
      </c>
      <c r="AX10" s="698"/>
      <c r="AY10" s="143"/>
      <c r="AZ10" s="1450">
        <f t="shared" si="2"/>
        <v>7336</v>
      </c>
      <c r="BA10" s="1370">
        <f t="shared" si="3"/>
        <v>5086</v>
      </c>
    </row>
    <row r="11" spans="1:53" ht="14.25">
      <c r="A11" s="775" t="s">
        <v>294</v>
      </c>
      <c r="B11" s="1162"/>
      <c r="C11" s="188"/>
      <c r="D11" s="1162"/>
      <c r="E11" s="188"/>
      <c r="F11" s="1162"/>
      <c r="G11" s="188"/>
      <c r="H11" s="1162"/>
      <c r="I11" s="188"/>
      <c r="J11" s="1162"/>
      <c r="K11" s="188"/>
      <c r="L11" s="1162"/>
      <c r="M11" s="188"/>
      <c r="N11" s="1162"/>
      <c r="O11" s="188"/>
      <c r="P11" s="1162"/>
      <c r="Q11" s="188"/>
      <c r="R11" s="1162"/>
      <c r="S11" s="188"/>
      <c r="T11" s="1162"/>
      <c r="U11" s="188"/>
      <c r="V11" s="1162"/>
      <c r="W11" s="188"/>
      <c r="X11" s="1162"/>
      <c r="Y11" s="188"/>
      <c r="Z11" s="1162"/>
      <c r="AA11" s="188"/>
      <c r="AB11" s="1162"/>
      <c r="AC11" s="188"/>
      <c r="AD11" s="1162"/>
      <c r="AE11" s="143"/>
      <c r="AF11" s="698"/>
      <c r="AG11" s="188"/>
      <c r="AH11" s="1162"/>
      <c r="AI11" s="188"/>
      <c r="AJ11" s="1162"/>
      <c r="AK11" s="188"/>
      <c r="AL11" s="1162"/>
      <c r="AM11" s="143"/>
      <c r="AN11" s="698"/>
      <c r="AO11" s="188"/>
      <c r="AP11" s="1162"/>
      <c r="AQ11" s="188"/>
      <c r="AR11" s="1162"/>
      <c r="AS11" s="143"/>
      <c r="AT11" s="698"/>
      <c r="AU11" s="188"/>
      <c r="AV11" s="1368"/>
      <c r="AW11" s="1370"/>
      <c r="AX11" s="698"/>
      <c r="AY11" s="143"/>
      <c r="AZ11" s="1450"/>
      <c r="BA11" s="1370"/>
    </row>
    <row r="12" spans="1:53" ht="14.25">
      <c r="A12" s="775" t="s">
        <v>295</v>
      </c>
      <c r="B12" s="1423"/>
      <c r="C12" s="1073"/>
      <c r="D12" s="1162"/>
      <c r="E12" s="188"/>
      <c r="F12" s="1423"/>
      <c r="G12" s="1073"/>
      <c r="H12" s="1162"/>
      <c r="I12" s="188"/>
      <c r="J12" s="1162"/>
      <c r="K12" s="188"/>
      <c r="L12" s="1162"/>
      <c r="M12" s="188"/>
      <c r="N12" s="1162"/>
      <c r="O12" s="188"/>
      <c r="P12" s="1162"/>
      <c r="Q12" s="188"/>
      <c r="R12" s="1162"/>
      <c r="S12" s="188"/>
      <c r="T12" s="1162"/>
      <c r="U12" s="188"/>
      <c r="V12" s="1162"/>
      <c r="W12" s="188"/>
      <c r="X12" s="1162"/>
      <c r="Y12" s="188"/>
      <c r="Z12" s="1162"/>
      <c r="AA12" s="188"/>
      <c r="AB12" s="1162"/>
      <c r="AC12" s="188"/>
      <c r="AD12" s="1162"/>
      <c r="AE12" s="143"/>
      <c r="AF12" s="698"/>
      <c r="AG12" s="188"/>
      <c r="AH12" s="1162"/>
      <c r="AI12" s="188"/>
      <c r="AJ12" s="1162"/>
      <c r="AK12" s="188"/>
      <c r="AL12" s="1162"/>
      <c r="AM12" s="143"/>
      <c r="AN12" s="698"/>
      <c r="AO12" s="188"/>
      <c r="AP12" s="1162"/>
      <c r="AQ12" s="188"/>
      <c r="AR12" s="1162"/>
      <c r="AS12" s="143"/>
      <c r="AT12" s="698"/>
      <c r="AU12" s="188"/>
      <c r="AV12" s="1368"/>
      <c r="AW12" s="1370"/>
      <c r="AX12" s="698"/>
      <c r="AY12" s="143"/>
      <c r="AZ12" s="1450"/>
      <c r="BA12" s="1370"/>
    </row>
    <row r="13" spans="1:53" ht="14.25">
      <c r="A13" s="775" t="s">
        <v>296</v>
      </c>
      <c r="B13" s="1423"/>
      <c r="C13" s="1073"/>
      <c r="D13" s="1162"/>
      <c r="E13" s="188"/>
      <c r="F13" s="1423"/>
      <c r="G13" s="1073"/>
      <c r="H13" s="1162"/>
      <c r="I13" s="188"/>
      <c r="J13" s="1162"/>
      <c r="K13" s="188"/>
      <c r="L13" s="1162"/>
      <c r="M13" s="188"/>
      <c r="N13" s="1162"/>
      <c r="O13" s="188"/>
      <c r="P13" s="1162"/>
      <c r="Q13" s="188"/>
      <c r="R13" s="1162"/>
      <c r="S13" s="188"/>
      <c r="T13" s="1162"/>
      <c r="U13" s="188"/>
      <c r="V13" s="1162"/>
      <c r="W13" s="188"/>
      <c r="X13" s="1162"/>
      <c r="Y13" s="188"/>
      <c r="Z13" s="1162"/>
      <c r="AA13" s="188"/>
      <c r="AB13" s="1162"/>
      <c r="AC13" s="188"/>
      <c r="AD13" s="1162"/>
      <c r="AE13" s="143"/>
      <c r="AF13" s="698"/>
      <c r="AG13" s="188"/>
      <c r="AH13" s="1162"/>
      <c r="AI13" s="188"/>
      <c r="AJ13" s="1162"/>
      <c r="AK13" s="188"/>
      <c r="AL13" s="1162"/>
      <c r="AM13" s="143"/>
      <c r="AN13" s="698"/>
      <c r="AO13" s="188"/>
      <c r="AP13" s="1162">
        <v>351743</v>
      </c>
      <c r="AQ13" s="188">
        <v>438762</v>
      </c>
      <c r="AR13" s="1162"/>
      <c r="AS13" s="143"/>
      <c r="AT13" s="698"/>
      <c r="AU13" s="188"/>
      <c r="AV13" s="1368">
        <f t="shared" si="0"/>
        <v>351743</v>
      </c>
      <c r="AW13" s="1370">
        <f t="shared" si="1"/>
        <v>438762</v>
      </c>
      <c r="AX13" s="698">
        <v>1</v>
      </c>
      <c r="AY13" s="143">
        <v>1</v>
      </c>
      <c r="AZ13" s="1450">
        <f t="shared" si="2"/>
        <v>351744</v>
      </c>
      <c r="BA13" s="1370">
        <f t="shared" si="3"/>
        <v>438763</v>
      </c>
    </row>
    <row r="14" spans="1:53" ht="14.25">
      <c r="A14" s="775" t="s">
        <v>75</v>
      </c>
      <c r="B14" s="1423"/>
      <c r="C14" s="1073"/>
      <c r="D14" s="1162"/>
      <c r="E14" s="188"/>
      <c r="F14" s="1423"/>
      <c r="G14" s="1073"/>
      <c r="H14" s="1162"/>
      <c r="I14" s="188"/>
      <c r="J14" s="1162"/>
      <c r="K14" s="188"/>
      <c r="L14" s="1162"/>
      <c r="M14" s="188"/>
      <c r="N14" s="1162"/>
      <c r="O14" s="188"/>
      <c r="P14" s="1162"/>
      <c r="Q14" s="188"/>
      <c r="R14" s="1162"/>
      <c r="S14" s="188"/>
      <c r="T14" s="1162"/>
      <c r="U14" s="188"/>
      <c r="V14" s="1162"/>
      <c r="W14" s="188"/>
      <c r="X14" s="1162"/>
      <c r="Y14" s="188"/>
      <c r="Z14" s="1162"/>
      <c r="AA14" s="188"/>
      <c r="AB14" s="1162"/>
      <c r="AC14" s="188"/>
      <c r="AD14" s="1162"/>
      <c r="AE14" s="143"/>
      <c r="AF14" s="698"/>
      <c r="AG14" s="188"/>
      <c r="AH14" s="1162"/>
      <c r="AI14" s="188"/>
      <c r="AJ14" s="1162"/>
      <c r="AK14" s="188"/>
      <c r="AL14" s="1162"/>
      <c r="AM14" s="143"/>
      <c r="AN14" s="698"/>
      <c r="AO14" s="188"/>
      <c r="AP14" s="1162"/>
      <c r="AQ14" s="188"/>
      <c r="AR14" s="1162"/>
      <c r="AS14" s="143"/>
      <c r="AT14" s="698"/>
      <c r="AU14" s="188"/>
      <c r="AV14" s="1368"/>
      <c r="AW14" s="1370"/>
      <c r="AX14" s="698">
        <f>1277104+23996789</f>
        <v>25273893</v>
      </c>
      <c r="AY14" s="143">
        <f>1228806+38430797</f>
        <v>39659603</v>
      </c>
      <c r="AZ14" s="1450">
        <f t="shared" si="2"/>
        <v>25273893</v>
      </c>
      <c r="BA14" s="1370">
        <f t="shared" si="3"/>
        <v>39659603</v>
      </c>
    </row>
    <row r="15" spans="1:53" s="123" customFormat="1" ht="14.25">
      <c r="A15" s="775" t="s">
        <v>297</v>
      </c>
      <c r="B15" s="1424">
        <v>4091676</v>
      </c>
      <c r="C15" s="1453">
        <v>1885718</v>
      </c>
      <c r="D15" s="1432">
        <v>266350</v>
      </c>
      <c r="E15" s="1437">
        <v>260531</v>
      </c>
      <c r="F15" s="1432">
        <v>414826</v>
      </c>
      <c r="G15" s="1437">
        <v>330911</v>
      </c>
      <c r="H15" s="1432">
        <f>1536924</f>
        <v>1536924</v>
      </c>
      <c r="I15" s="1437">
        <v>1488104</v>
      </c>
      <c r="J15" s="1432">
        <v>633058</v>
      </c>
      <c r="K15" s="1437">
        <v>753079</v>
      </c>
      <c r="L15" s="1432">
        <v>1001064</v>
      </c>
      <c r="M15" s="1437">
        <v>879374</v>
      </c>
      <c r="N15" s="1432">
        <v>546060</v>
      </c>
      <c r="O15" s="1437">
        <v>317798</v>
      </c>
      <c r="P15" s="1432">
        <v>306793</v>
      </c>
      <c r="Q15" s="1437">
        <v>264868</v>
      </c>
      <c r="R15" s="1432">
        <v>1366268</v>
      </c>
      <c r="S15" s="1437">
        <v>977593</v>
      </c>
      <c r="T15" s="1432">
        <v>274436</v>
      </c>
      <c r="U15" s="1437">
        <v>234063</v>
      </c>
      <c r="V15" s="1162">
        <v>2043629</v>
      </c>
      <c r="W15" s="188">
        <v>3321785</v>
      </c>
      <c r="X15" s="1432">
        <v>978213</v>
      </c>
      <c r="Y15" s="1437">
        <v>6337803</v>
      </c>
      <c r="Z15" s="1432">
        <v>556763</v>
      </c>
      <c r="AA15" s="1437">
        <v>638524</v>
      </c>
      <c r="AB15" s="1432">
        <v>611874</v>
      </c>
      <c r="AC15" s="1437">
        <v>310083</v>
      </c>
      <c r="AD15" s="1432">
        <v>215055</v>
      </c>
      <c r="AE15" s="1413">
        <v>627296</v>
      </c>
      <c r="AF15" s="1441">
        <v>2823288</v>
      </c>
      <c r="AG15" s="1437">
        <v>2163526</v>
      </c>
      <c r="AH15" s="1432">
        <v>1616192</v>
      </c>
      <c r="AI15" s="1437">
        <v>1226558</v>
      </c>
      <c r="AJ15" s="1432">
        <v>1913062</v>
      </c>
      <c r="AK15" s="1437">
        <v>976145</v>
      </c>
      <c r="AL15" s="1432"/>
      <c r="AM15" s="1413"/>
      <c r="AN15" s="1441">
        <v>15912102</v>
      </c>
      <c r="AO15" s="1437">
        <v>17421915</v>
      </c>
      <c r="AP15" s="1432">
        <v>895852</v>
      </c>
      <c r="AQ15" s="1437">
        <v>1344106</v>
      </c>
      <c r="AR15" s="1432">
        <v>532073</v>
      </c>
      <c r="AS15" s="1413">
        <v>185870</v>
      </c>
      <c r="AT15" s="1441">
        <v>1478061</v>
      </c>
      <c r="AU15" s="1437">
        <v>691022</v>
      </c>
      <c r="AV15" s="1368">
        <f t="shared" si="0"/>
        <v>40013619</v>
      </c>
      <c r="AW15" s="1370">
        <f t="shared" si="1"/>
        <v>42636672</v>
      </c>
      <c r="AX15" s="1441">
        <v>111393829</v>
      </c>
      <c r="AY15" s="1413">
        <v>114873633</v>
      </c>
      <c r="AZ15" s="1450">
        <f t="shared" si="2"/>
        <v>151407448</v>
      </c>
      <c r="BA15" s="1370">
        <f t="shared" si="3"/>
        <v>157510305</v>
      </c>
    </row>
    <row r="16" spans="1:53" ht="14.25">
      <c r="A16" s="775" t="s">
        <v>298</v>
      </c>
      <c r="B16" s="1423"/>
      <c r="C16" s="1073"/>
      <c r="D16" s="1162"/>
      <c r="E16" s="188"/>
      <c r="F16" s="1423"/>
      <c r="G16" s="1073"/>
      <c r="H16" s="1162"/>
      <c r="I16" s="188"/>
      <c r="J16" s="1162"/>
      <c r="K16" s="188"/>
      <c r="L16" s="1162"/>
      <c r="M16" s="188"/>
      <c r="N16" s="1162"/>
      <c r="O16" s="188"/>
      <c r="P16" s="1162"/>
      <c r="Q16" s="188"/>
      <c r="R16" s="1162">
        <v>11</v>
      </c>
      <c r="S16" s="188">
        <v>11</v>
      </c>
      <c r="T16" s="1162"/>
      <c r="U16" s="188"/>
      <c r="V16" s="1162"/>
      <c r="W16" s="188"/>
      <c r="X16" s="1162">
        <v>4040</v>
      </c>
      <c r="Y16" s="188">
        <v>963</v>
      </c>
      <c r="Z16" s="1162"/>
      <c r="AA16" s="188"/>
      <c r="AB16" s="1162">
        <v>6139</v>
      </c>
      <c r="AC16" s="188">
        <v>4838</v>
      </c>
      <c r="AD16" s="1162"/>
      <c r="AE16" s="143"/>
      <c r="AF16" s="698"/>
      <c r="AG16" s="188"/>
      <c r="AH16" s="1162"/>
      <c r="AI16" s="188"/>
      <c r="AJ16" s="1162"/>
      <c r="AK16" s="188"/>
      <c r="AL16" s="1162"/>
      <c r="AM16" s="143"/>
      <c r="AN16" s="698"/>
      <c r="AO16" s="188"/>
      <c r="AP16" s="1162"/>
      <c r="AQ16" s="188"/>
      <c r="AR16" s="1162"/>
      <c r="AS16" s="143"/>
      <c r="AT16" s="698"/>
      <c r="AU16" s="188"/>
      <c r="AV16" s="1368">
        <f t="shared" si="0"/>
        <v>10190</v>
      </c>
      <c r="AW16" s="1370">
        <f t="shared" si="1"/>
        <v>5812</v>
      </c>
      <c r="AX16" s="698"/>
      <c r="AY16" s="143"/>
      <c r="AZ16" s="1450">
        <f t="shared" si="2"/>
        <v>10190</v>
      </c>
      <c r="BA16" s="1370">
        <f t="shared" si="3"/>
        <v>5812</v>
      </c>
    </row>
    <row r="17" spans="1:53" ht="14.25" hidden="1">
      <c r="A17" s="688"/>
      <c r="B17" s="1162"/>
      <c r="C17" s="188"/>
      <c r="D17" s="1162"/>
      <c r="E17" s="188"/>
      <c r="F17" s="1162"/>
      <c r="G17" s="188"/>
      <c r="H17" s="1162"/>
      <c r="I17" s="188"/>
      <c r="J17" s="1162"/>
      <c r="K17" s="188"/>
      <c r="L17" s="1162"/>
      <c r="M17" s="188"/>
      <c r="N17" s="1162"/>
      <c r="O17" s="188"/>
      <c r="P17" s="1162"/>
      <c r="Q17" s="188"/>
      <c r="R17" s="1162"/>
      <c r="S17" s="188"/>
      <c r="T17" s="1162"/>
      <c r="U17" s="188"/>
      <c r="V17" s="1162"/>
      <c r="W17" s="188"/>
      <c r="X17" s="1162"/>
      <c r="Y17" s="188"/>
      <c r="Z17" s="1162"/>
      <c r="AA17" s="188"/>
      <c r="AB17" s="1162"/>
      <c r="AC17" s="188"/>
      <c r="AD17" s="1162"/>
      <c r="AE17" s="143"/>
      <c r="AF17" s="698"/>
      <c r="AG17" s="188"/>
      <c r="AH17" s="1162"/>
      <c r="AI17" s="188"/>
      <c r="AJ17" s="1162"/>
      <c r="AK17" s="188"/>
      <c r="AL17" s="1162"/>
      <c r="AM17" s="143"/>
      <c r="AN17" s="698"/>
      <c r="AO17" s="188"/>
      <c r="AP17" s="1162"/>
      <c r="AQ17" s="188"/>
      <c r="AR17" s="1162"/>
      <c r="AS17" s="143"/>
      <c r="AT17" s="698"/>
      <c r="AU17" s="188"/>
      <c r="AV17" s="1368">
        <f t="shared" si="0"/>
        <v>0</v>
      </c>
      <c r="AW17" s="1370">
        <f t="shared" si="1"/>
        <v>0</v>
      </c>
      <c r="AX17" s="698"/>
      <c r="AY17" s="143"/>
      <c r="AZ17" s="1450">
        <f t="shared" si="2"/>
        <v>0</v>
      </c>
      <c r="BA17" s="1370">
        <f t="shared" si="3"/>
        <v>0</v>
      </c>
    </row>
    <row r="18" spans="1:53" ht="14.25">
      <c r="A18" s="775" t="s">
        <v>179</v>
      </c>
      <c r="B18" s="1162"/>
      <c r="C18" s="188"/>
      <c r="D18" s="1162"/>
      <c r="E18" s="188"/>
      <c r="F18" s="1162"/>
      <c r="G18" s="188"/>
      <c r="H18" s="1366"/>
      <c r="I18" s="1457"/>
      <c r="J18" s="1162"/>
      <c r="K18" s="188"/>
      <c r="L18" s="1162"/>
      <c r="M18" s="188"/>
      <c r="N18" s="1162"/>
      <c r="O18" s="188"/>
      <c r="P18" s="1162"/>
      <c r="Q18" s="188"/>
      <c r="R18" s="1162"/>
      <c r="S18" s="188"/>
      <c r="T18" s="1162"/>
      <c r="U18" s="188"/>
      <c r="V18" s="1162"/>
      <c r="W18" s="188"/>
      <c r="X18" s="1162"/>
      <c r="Y18" s="188"/>
      <c r="Z18" s="1162"/>
      <c r="AA18" s="188"/>
      <c r="AB18" s="1162"/>
      <c r="AC18" s="188"/>
      <c r="AD18" s="1162"/>
      <c r="AE18" s="143"/>
      <c r="AF18" s="698"/>
      <c r="AG18" s="188"/>
      <c r="AH18" s="1162"/>
      <c r="AI18" s="188"/>
      <c r="AJ18" s="1162"/>
      <c r="AK18" s="188"/>
      <c r="AL18" s="1162"/>
      <c r="AM18" s="143"/>
      <c r="AN18" s="698"/>
      <c r="AO18" s="188"/>
      <c r="AP18" s="1162"/>
      <c r="AQ18" s="188"/>
      <c r="AR18" s="1162"/>
      <c r="AS18" s="143"/>
      <c r="AT18" s="698"/>
      <c r="AU18" s="188"/>
      <c r="AV18" s="1368"/>
      <c r="AW18" s="1370"/>
      <c r="AX18" s="698"/>
      <c r="AY18" s="143"/>
      <c r="AZ18" s="1450"/>
      <c r="BA18" s="1370"/>
    </row>
    <row r="19" spans="1:53" s="123" customFormat="1" ht="14.25">
      <c r="A19" s="775" t="s">
        <v>56</v>
      </c>
      <c r="B19" s="1424">
        <f aca="true" t="shared" si="4" ref="B19:H19">B15</f>
        <v>4091676</v>
      </c>
      <c r="C19" s="1453">
        <f t="shared" si="4"/>
        <v>1885718</v>
      </c>
      <c r="D19" s="1432">
        <f t="shared" si="4"/>
        <v>266350</v>
      </c>
      <c r="E19" s="1437">
        <f t="shared" si="4"/>
        <v>260531</v>
      </c>
      <c r="F19" s="1432">
        <f t="shared" si="4"/>
        <v>414826</v>
      </c>
      <c r="G19" s="1437">
        <f t="shared" si="4"/>
        <v>330911</v>
      </c>
      <c r="H19" s="1432">
        <f t="shared" si="4"/>
        <v>1536924</v>
      </c>
      <c r="I19" s="1437">
        <f aca="true" t="shared" si="5" ref="I19:AU19">I15</f>
        <v>1488104</v>
      </c>
      <c r="J19" s="1432">
        <f t="shared" si="5"/>
        <v>633058</v>
      </c>
      <c r="K19" s="1437">
        <f t="shared" si="5"/>
        <v>753079</v>
      </c>
      <c r="L19" s="1432">
        <f t="shared" si="5"/>
        <v>1001064</v>
      </c>
      <c r="M19" s="1437">
        <f t="shared" si="5"/>
        <v>879374</v>
      </c>
      <c r="N19" s="1432">
        <f t="shared" si="5"/>
        <v>546060</v>
      </c>
      <c r="O19" s="1437">
        <f t="shared" si="5"/>
        <v>317798</v>
      </c>
      <c r="P19" s="1432">
        <f t="shared" si="5"/>
        <v>306793</v>
      </c>
      <c r="Q19" s="1437">
        <f t="shared" si="5"/>
        <v>264868</v>
      </c>
      <c r="R19" s="1432">
        <f t="shared" si="5"/>
        <v>1366268</v>
      </c>
      <c r="S19" s="1437">
        <f t="shared" si="5"/>
        <v>977593</v>
      </c>
      <c r="T19" s="1432">
        <f t="shared" si="5"/>
        <v>274436</v>
      </c>
      <c r="U19" s="1437">
        <f t="shared" si="5"/>
        <v>234063</v>
      </c>
      <c r="V19" s="1432">
        <v>2039365</v>
      </c>
      <c r="W19" s="1437">
        <v>3320458</v>
      </c>
      <c r="X19" s="1432">
        <v>968011</v>
      </c>
      <c r="Y19" s="1437">
        <v>6335390</v>
      </c>
      <c r="Z19" s="1432">
        <f t="shared" si="5"/>
        <v>556763</v>
      </c>
      <c r="AA19" s="1437">
        <f t="shared" si="5"/>
        <v>638524</v>
      </c>
      <c r="AB19" s="1432">
        <f t="shared" si="5"/>
        <v>611874</v>
      </c>
      <c r="AC19" s="1437">
        <f t="shared" si="5"/>
        <v>310083</v>
      </c>
      <c r="AD19" s="1432">
        <f t="shared" si="5"/>
        <v>215055</v>
      </c>
      <c r="AE19" s="1413">
        <f t="shared" si="5"/>
        <v>627296</v>
      </c>
      <c r="AF19" s="1441">
        <f t="shared" si="5"/>
        <v>2823288</v>
      </c>
      <c r="AG19" s="1437">
        <f t="shared" si="5"/>
        <v>2163526</v>
      </c>
      <c r="AH19" s="1432">
        <f t="shared" si="5"/>
        <v>1616192</v>
      </c>
      <c r="AI19" s="1437">
        <f t="shared" si="5"/>
        <v>1226558</v>
      </c>
      <c r="AJ19" s="1432">
        <v>1911052</v>
      </c>
      <c r="AK19" s="1437">
        <v>970634</v>
      </c>
      <c r="AL19" s="1432">
        <f t="shared" si="5"/>
        <v>0</v>
      </c>
      <c r="AM19" s="1413">
        <f t="shared" si="5"/>
        <v>0</v>
      </c>
      <c r="AN19" s="1441">
        <v>15890873</v>
      </c>
      <c r="AO19" s="1437">
        <v>17370733</v>
      </c>
      <c r="AP19" s="1432">
        <f t="shared" si="5"/>
        <v>895852</v>
      </c>
      <c r="AQ19" s="1437">
        <f t="shared" si="5"/>
        <v>1344106</v>
      </c>
      <c r="AR19" s="1432">
        <f t="shared" si="5"/>
        <v>532073</v>
      </c>
      <c r="AS19" s="1413">
        <f t="shared" si="5"/>
        <v>185870</v>
      </c>
      <c r="AT19" s="1441">
        <f t="shared" si="5"/>
        <v>1478061</v>
      </c>
      <c r="AU19" s="1437">
        <f t="shared" si="5"/>
        <v>691022</v>
      </c>
      <c r="AV19" s="1368">
        <f t="shared" si="0"/>
        <v>39975914</v>
      </c>
      <c r="AW19" s="1370">
        <f t="shared" si="1"/>
        <v>42576239</v>
      </c>
      <c r="AX19" s="1441">
        <f>AX15</f>
        <v>111393829</v>
      </c>
      <c r="AY19" s="1413">
        <f>AY15</f>
        <v>114873633</v>
      </c>
      <c r="AZ19" s="1450">
        <f t="shared" si="2"/>
        <v>151369743</v>
      </c>
      <c r="BA19" s="1370">
        <f t="shared" si="3"/>
        <v>157449872</v>
      </c>
    </row>
    <row r="20" spans="1:53" ht="14.25">
      <c r="A20" s="775" t="s">
        <v>57</v>
      </c>
      <c r="B20" s="1421"/>
      <c r="C20" s="1071"/>
      <c r="D20" s="1162"/>
      <c r="E20" s="188"/>
      <c r="F20" s="1421"/>
      <c r="G20" s="1071"/>
      <c r="H20" s="1162"/>
      <c r="I20" s="188"/>
      <c r="J20" s="1162"/>
      <c r="K20" s="188"/>
      <c r="L20" s="1162"/>
      <c r="M20" s="188"/>
      <c r="N20" s="1162"/>
      <c r="O20" s="188"/>
      <c r="P20" s="1162"/>
      <c r="Q20" s="188"/>
      <c r="R20" s="1162"/>
      <c r="S20" s="188"/>
      <c r="T20" s="1162"/>
      <c r="U20" s="188"/>
      <c r="V20" s="1162">
        <v>4264</v>
      </c>
      <c r="W20" s="188">
        <v>1327</v>
      </c>
      <c r="X20" s="1162">
        <v>10202</v>
      </c>
      <c r="Y20" s="188">
        <v>2413</v>
      </c>
      <c r="Z20" s="1162"/>
      <c r="AA20" s="188"/>
      <c r="AB20" s="1162"/>
      <c r="AC20" s="188"/>
      <c r="AD20" s="1162"/>
      <c r="AE20" s="143"/>
      <c r="AF20" s="698"/>
      <c r="AG20" s="188"/>
      <c r="AH20" s="1162"/>
      <c r="AI20" s="188"/>
      <c r="AJ20" s="1162">
        <v>2010</v>
      </c>
      <c r="AK20" s="188">
        <v>5511</v>
      </c>
      <c r="AL20" s="1162"/>
      <c r="AM20" s="143"/>
      <c r="AN20" s="698">
        <v>21229</v>
      </c>
      <c r="AO20" s="188">
        <v>51182</v>
      </c>
      <c r="AP20" s="1162"/>
      <c r="AQ20" s="188"/>
      <c r="AR20" s="1162"/>
      <c r="AS20" s="143"/>
      <c r="AT20" s="698"/>
      <c r="AU20" s="188"/>
      <c r="AV20" s="1368">
        <f t="shared" si="0"/>
        <v>37705</v>
      </c>
      <c r="AW20" s="1370">
        <f t="shared" si="1"/>
        <v>60433</v>
      </c>
      <c r="AX20" s="698"/>
      <c r="AY20" s="143"/>
      <c r="AZ20" s="1450">
        <f t="shared" si="2"/>
        <v>37705</v>
      </c>
      <c r="BA20" s="1370">
        <f t="shared" si="3"/>
        <v>60433</v>
      </c>
    </row>
    <row r="21" spans="1:53" s="854" customFormat="1" ht="14.25">
      <c r="A21" s="923" t="s">
        <v>299</v>
      </c>
      <c r="B21" s="1414">
        <f aca="true" t="shared" si="6" ref="B21:G21">B15</f>
        <v>4091676</v>
      </c>
      <c r="C21" s="1454">
        <f t="shared" si="6"/>
        <v>1885718</v>
      </c>
      <c r="D21" s="1433">
        <f t="shared" si="6"/>
        <v>266350</v>
      </c>
      <c r="E21" s="1438">
        <f t="shared" si="6"/>
        <v>260531</v>
      </c>
      <c r="F21" s="1433">
        <f t="shared" si="6"/>
        <v>414826</v>
      </c>
      <c r="G21" s="1438">
        <f t="shared" si="6"/>
        <v>330911</v>
      </c>
      <c r="H21" s="1433">
        <f>H19</f>
        <v>1536924</v>
      </c>
      <c r="I21" s="1438">
        <f>I19</f>
        <v>1488104</v>
      </c>
      <c r="J21" s="1433">
        <f>J15</f>
        <v>633058</v>
      </c>
      <c r="K21" s="1438">
        <f>K15</f>
        <v>753079</v>
      </c>
      <c r="L21" s="1433">
        <f>L15</f>
        <v>1001064</v>
      </c>
      <c r="M21" s="1438">
        <f aca="true" t="shared" si="7" ref="M21:AU21">M15</f>
        <v>879374</v>
      </c>
      <c r="N21" s="1433">
        <f t="shared" si="7"/>
        <v>546060</v>
      </c>
      <c r="O21" s="1438">
        <f t="shared" si="7"/>
        <v>317798</v>
      </c>
      <c r="P21" s="1433">
        <f t="shared" si="7"/>
        <v>306793</v>
      </c>
      <c r="Q21" s="1438">
        <f t="shared" si="7"/>
        <v>264868</v>
      </c>
      <c r="R21" s="1433">
        <f t="shared" si="7"/>
        <v>1366268</v>
      </c>
      <c r="S21" s="1438">
        <f t="shared" si="7"/>
        <v>977593</v>
      </c>
      <c r="T21" s="1433">
        <f t="shared" si="7"/>
        <v>274436</v>
      </c>
      <c r="U21" s="1438">
        <f t="shared" si="7"/>
        <v>234063</v>
      </c>
      <c r="V21" s="1433">
        <f t="shared" si="7"/>
        <v>2043629</v>
      </c>
      <c r="W21" s="1438">
        <f t="shared" si="7"/>
        <v>3321785</v>
      </c>
      <c r="X21" s="1433">
        <f t="shared" si="7"/>
        <v>978213</v>
      </c>
      <c r="Y21" s="1438">
        <f t="shared" si="7"/>
        <v>6337803</v>
      </c>
      <c r="Z21" s="1433">
        <f t="shared" si="7"/>
        <v>556763</v>
      </c>
      <c r="AA21" s="1438">
        <f t="shared" si="7"/>
        <v>638524</v>
      </c>
      <c r="AB21" s="1433">
        <f t="shared" si="7"/>
        <v>611874</v>
      </c>
      <c r="AC21" s="1438">
        <f t="shared" si="7"/>
        <v>310083</v>
      </c>
      <c r="AD21" s="1433">
        <f t="shared" si="7"/>
        <v>215055</v>
      </c>
      <c r="AE21" s="1415">
        <f t="shared" si="7"/>
        <v>627296</v>
      </c>
      <c r="AF21" s="1442">
        <f t="shared" si="7"/>
        <v>2823288</v>
      </c>
      <c r="AG21" s="1438">
        <f t="shared" si="7"/>
        <v>2163526</v>
      </c>
      <c r="AH21" s="1433">
        <f t="shared" si="7"/>
        <v>1616192</v>
      </c>
      <c r="AI21" s="1438">
        <f t="shared" si="7"/>
        <v>1226558</v>
      </c>
      <c r="AJ21" s="1433">
        <f t="shared" si="7"/>
        <v>1913062</v>
      </c>
      <c r="AK21" s="1438">
        <f t="shared" si="7"/>
        <v>976145</v>
      </c>
      <c r="AL21" s="1433">
        <f t="shared" si="7"/>
        <v>0</v>
      </c>
      <c r="AM21" s="1415">
        <f t="shared" si="7"/>
        <v>0</v>
      </c>
      <c r="AN21" s="1442">
        <f t="shared" si="7"/>
        <v>15912102</v>
      </c>
      <c r="AO21" s="1438">
        <f t="shared" si="7"/>
        <v>17421915</v>
      </c>
      <c r="AP21" s="1433">
        <f t="shared" si="7"/>
        <v>895852</v>
      </c>
      <c r="AQ21" s="1438">
        <f t="shared" si="7"/>
        <v>1344106</v>
      </c>
      <c r="AR21" s="1433">
        <f t="shared" si="7"/>
        <v>532073</v>
      </c>
      <c r="AS21" s="1415">
        <f t="shared" si="7"/>
        <v>185870</v>
      </c>
      <c r="AT21" s="1050">
        <f t="shared" si="7"/>
        <v>1478061</v>
      </c>
      <c r="AU21" s="923">
        <f t="shared" si="7"/>
        <v>691022</v>
      </c>
      <c r="AV21" s="1368">
        <f t="shared" si="0"/>
        <v>40013619</v>
      </c>
      <c r="AW21" s="1370">
        <f t="shared" si="1"/>
        <v>42636672</v>
      </c>
      <c r="AX21" s="1442">
        <f>AX19</f>
        <v>111393829</v>
      </c>
      <c r="AY21" s="1415">
        <f>AY15</f>
        <v>114873633</v>
      </c>
      <c r="AZ21" s="1451">
        <f t="shared" si="2"/>
        <v>151407448</v>
      </c>
      <c r="BA21" s="1370">
        <f t="shared" si="3"/>
        <v>157510305</v>
      </c>
    </row>
    <row r="22" spans="1:53" ht="14.25">
      <c r="A22" s="775" t="s">
        <v>300</v>
      </c>
      <c r="B22" s="1162"/>
      <c r="C22" s="188"/>
      <c r="D22" s="1162"/>
      <c r="E22" s="188"/>
      <c r="F22" s="1162"/>
      <c r="G22" s="188"/>
      <c r="H22" s="1162"/>
      <c r="I22" s="188"/>
      <c r="J22" s="1162"/>
      <c r="K22" s="188"/>
      <c r="L22" s="1162"/>
      <c r="M22" s="188"/>
      <c r="N22" s="1162"/>
      <c r="O22" s="188"/>
      <c r="P22" s="1162"/>
      <c r="Q22" s="188"/>
      <c r="R22" s="1162"/>
      <c r="S22" s="188"/>
      <c r="T22" s="1162"/>
      <c r="U22" s="188"/>
      <c r="V22" s="1162"/>
      <c r="W22" s="188"/>
      <c r="X22" s="1162"/>
      <c r="Y22" s="188"/>
      <c r="Z22" s="1162"/>
      <c r="AA22" s="188"/>
      <c r="AB22" s="1162"/>
      <c r="AC22" s="188"/>
      <c r="AD22" s="1162"/>
      <c r="AE22" s="143"/>
      <c r="AF22" s="698"/>
      <c r="AG22" s="188"/>
      <c r="AH22" s="1162"/>
      <c r="AI22" s="188"/>
      <c r="AJ22" s="1162"/>
      <c r="AK22" s="188"/>
      <c r="AL22" s="1162"/>
      <c r="AM22" s="143"/>
      <c r="AN22" s="698"/>
      <c r="AO22" s="188"/>
      <c r="AP22" s="1162"/>
      <c r="AQ22" s="188"/>
      <c r="AR22" s="1162"/>
      <c r="AS22" s="143"/>
      <c r="AT22" s="698"/>
      <c r="AU22" s="188"/>
      <c r="AV22" s="1368"/>
      <c r="AW22" s="1370"/>
      <c r="AX22" s="698"/>
      <c r="AY22" s="143"/>
      <c r="AZ22" s="1450"/>
      <c r="BA22" s="1370"/>
    </row>
    <row r="23" spans="1:53" ht="14.25">
      <c r="A23" s="688" t="s">
        <v>0</v>
      </c>
      <c r="B23" s="1425"/>
      <c r="C23" s="1455"/>
      <c r="D23" s="1162"/>
      <c r="E23" s="188"/>
      <c r="F23" s="1162"/>
      <c r="G23" s="188"/>
      <c r="H23" s="1162"/>
      <c r="I23" s="188"/>
      <c r="J23" s="1162"/>
      <c r="K23" s="188"/>
      <c r="L23" s="1162"/>
      <c r="M23" s="188"/>
      <c r="N23" s="1162"/>
      <c r="O23" s="188"/>
      <c r="P23" s="1162"/>
      <c r="Q23" s="188"/>
      <c r="R23" s="1162"/>
      <c r="S23" s="188"/>
      <c r="T23" s="1162"/>
      <c r="U23" s="188"/>
      <c r="V23" s="1162"/>
      <c r="W23" s="188"/>
      <c r="X23" s="1162"/>
      <c r="Y23" s="188"/>
      <c r="Z23" s="1162"/>
      <c r="AA23" s="188"/>
      <c r="AB23" s="1162"/>
      <c r="AC23" s="188"/>
      <c r="AD23" s="1162"/>
      <c r="AE23" s="143"/>
      <c r="AF23" s="698"/>
      <c r="AG23" s="188"/>
      <c r="AH23" s="1162"/>
      <c r="AI23" s="188"/>
      <c r="AJ23" s="1162"/>
      <c r="AK23" s="188"/>
      <c r="AL23" s="1162"/>
      <c r="AM23" s="143"/>
      <c r="AN23" s="698"/>
      <c r="AO23" s="188"/>
      <c r="AP23" s="1162"/>
      <c r="AQ23" s="188"/>
      <c r="AR23" s="1162"/>
      <c r="AS23" s="143"/>
      <c r="AT23" s="698"/>
      <c r="AU23" s="188"/>
      <c r="AV23" s="1368"/>
      <c r="AW23" s="1370"/>
      <c r="AX23" s="698"/>
      <c r="AY23" s="143"/>
      <c r="AZ23" s="1450"/>
      <c r="BA23" s="1370"/>
    </row>
    <row r="24" spans="1:53" ht="14.25">
      <c r="A24" s="688" t="s">
        <v>301</v>
      </c>
      <c r="B24" s="1422"/>
      <c r="C24" s="1072"/>
      <c r="D24" s="1162"/>
      <c r="E24" s="188"/>
      <c r="F24" s="1422"/>
      <c r="G24" s="1072"/>
      <c r="H24" s="1162"/>
      <c r="I24" s="188"/>
      <c r="J24" s="1162"/>
      <c r="K24" s="188"/>
      <c r="L24" s="1162"/>
      <c r="M24" s="188"/>
      <c r="N24" s="1162"/>
      <c r="O24" s="188"/>
      <c r="P24" s="1162"/>
      <c r="Q24" s="188"/>
      <c r="R24" s="1162"/>
      <c r="S24" s="188"/>
      <c r="T24" s="1162"/>
      <c r="U24" s="188"/>
      <c r="V24" s="1162"/>
      <c r="W24" s="188"/>
      <c r="X24" s="1162"/>
      <c r="Y24" s="188"/>
      <c r="Z24" s="1162"/>
      <c r="AA24" s="188"/>
      <c r="AB24" s="1162"/>
      <c r="AC24" s="188"/>
      <c r="AD24" s="1162"/>
      <c r="AE24" s="143"/>
      <c r="AF24" s="698"/>
      <c r="AG24" s="188"/>
      <c r="AH24" s="1162"/>
      <c r="AI24" s="188"/>
      <c r="AJ24" s="1162"/>
      <c r="AK24" s="188"/>
      <c r="AL24" s="1162"/>
      <c r="AM24" s="143"/>
      <c r="AN24" s="698"/>
      <c r="AO24" s="188"/>
      <c r="AP24" s="1162"/>
      <c r="AQ24" s="188"/>
      <c r="AR24" s="1162"/>
      <c r="AS24" s="143"/>
      <c r="AT24" s="698"/>
      <c r="AU24" s="188"/>
      <c r="AV24" s="1368"/>
      <c r="AW24" s="1370"/>
      <c r="AX24" s="698"/>
      <c r="AY24" s="143"/>
      <c r="AZ24" s="1450"/>
      <c r="BA24" s="1370"/>
    </row>
    <row r="25" spans="1:53" ht="14.25">
      <c r="A25" s="688" t="s">
        <v>302</v>
      </c>
      <c r="B25" s="1421"/>
      <c r="C25" s="1071"/>
      <c r="D25" s="1162"/>
      <c r="E25" s="188"/>
      <c r="F25" s="1421"/>
      <c r="G25" s="1071"/>
      <c r="H25" s="1162"/>
      <c r="I25" s="188"/>
      <c r="J25" s="1162"/>
      <c r="K25" s="188"/>
      <c r="L25" s="1162"/>
      <c r="M25" s="188"/>
      <c r="N25" s="1162"/>
      <c r="O25" s="188"/>
      <c r="P25" s="1162"/>
      <c r="Q25" s="188"/>
      <c r="R25" s="1162"/>
      <c r="S25" s="188"/>
      <c r="T25" s="1162"/>
      <c r="U25" s="188"/>
      <c r="V25" s="1162"/>
      <c r="W25" s="188"/>
      <c r="X25" s="1162"/>
      <c r="Y25" s="188"/>
      <c r="Z25" s="1162"/>
      <c r="AA25" s="188"/>
      <c r="AB25" s="1162"/>
      <c r="AC25" s="188"/>
      <c r="AD25" s="1162"/>
      <c r="AE25" s="143"/>
      <c r="AF25" s="698"/>
      <c r="AG25" s="188"/>
      <c r="AH25" s="1162"/>
      <c r="AI25" s="188"/>
      <c r="AJ25" s="1162"/>
      <c r="AK25" s="188"/>
      <c r="AL25" s="1162"/>
      <c r="AM25" s="143"/>
      <c r="AN25" s="698"/>
      <c r="AO25" s="188"/>
      <c r="AP25" s="1162"/>
      <c r="AQ25" s="188"/>
      <c r="AR25" s="1162"/>
      <c r="AS25" s="143"/>
      <c r="AT25" s="698"/>
      <c r="AU25" s="188"/>
      <c r="AV25" s="1368"/>
      <c r="AW25" s="1370"/>
      <c r="AX25" s="698"/>
      <c r="AY25" s="143"/>
      <c r="AZ25" s="1450"/>
      <c r="BA25" s="1370"/>
    </row>
    <row r="26" spans="1:53" ht="14.25">
      <c r="A26" s="688" t="s">
        <v>303</v>
      </c>
      <c r="B26" s="1421"/>
      <c r="C26" s="1071"/>
      <c r="D26" s="1162"/>
      <c r="E26" s="188"/>
      <c r="F26" s="1421"/>
      <c r="G26" s="1071"/>
      <c r="H26" s="1162"/>
      <c r="I26" s="188"/>
      <c r="J26" s="1162"/>
      <c r="K26" s="188"/>
      <c r="L26" s="1162"/>
      <c r="M26" s="188"/>
      <c r="N26" s="1162"/>
      <c r="O26" s="188"/>
      <c r="P26" s="1162"/>
      <c r="Q26" s="188"/>
      <c r="R26" s="1162"/>
      <c r="S26" s="188"/>
      <c r="T26" s="1162"/>
      <c r="U26" s="188"/>
      <c r="V26" s="1162"/>
      <c r="W26" s="188"/>
      <c r="X26" s="1162"/>
      <c r="Y26" s="188"/>
      <c r="Z26" s="1162"/>
      <c r="AA26" s="188"/>
      <c r="AB26" s="1162"/>
      <c r="AC26" s="188"/>
      <c r="AD26" s="1162"/>
      <c r="AE26" s="143"/>
      <c r="AF26" s="698"/>
      <c r="AG26" s="188"/>
      <c r="AH26" s="1162"/>
      <c r="AI26" s="188"/>
      <c r="AJ26" s="1162"/>
      <c r="AK26" s="188"/>
      <c r="AL26" s="1162"/>
      <c r="AM26" s="143"/>
      <c r="AN26" s="698"/>
      <c r="AO26" s="188"/>
      <c r="AP26" s="1162"/>
      <c r="AQ26" s="188"/>
      <c r="AR26" s="1162"/>
      <c r="AS26" s="143"/>
      <c r="AT26" s="698"/>
      <c r="AU26" s="188"/>
      <c r="AV26" s="1368"/>
      <c r="AW26" s="1370"/>
      <c r="AX26" s="698"/>
      <c r="AY26" s="143"/>
      <c r="AZ26" s="1450"/>
      <c r="BA26" s="1370"/>
    </row>
    <row r="27" spans="1:53" ht="15" thickBot="1">
      <c r="A27" s="1420" t="s">
        <v>54</v>
      </c>
      <c r="B27" s="1426"/>
      <c r="C27" s="1456"/>
      <c r="D27" s="1434"/>
      <c r="E27" s="1439"/>
      <c r="F27" s="1434"/>
      <c r="G27" s="1439"/>
      <c r="H27" s="1434"/>
      <c r="I27" s="1439"/>
      <c r="J27" s="1434"/>
      <c r="K27" s="1439"/>
      <c r="L27" s="1434"/>
      <c r="M27" s="1439"/>
      <c r="N27" s="1434"/>
      <c r="O27" s="1439"/>
      <c r="P27" s="1434"/>
      <c r="Q27" s="1439"/>
      <c r="R27" s="1434"/>
      <c r="S27" s="1439"/>
      <c r="T27" s="1434"/>
      <c r="U27" s="1439"/>
      <c r="V27" s="1434"/>
      <c r="W27" s="1439"/>
      <c r="X27" s="1434"/>
      <c r="Y27" s="1439"/>
      <c r="Z27" s="1434"/>
      <c r="AA27" s="1439"/>
      <c r="AB27" s="1434"/>
      <c r="AC27" s="1439"/>
      <c r="AD27" s="1434"/>
      <c r="AE27" s="1417"/>
      <c r="AF27" s="1443"/>
      <c r="AG27" s="1439"/>
      <c r="AH27" s="1434"/>
      <c r="AI27" s="1439"/>
      <c r="AJ27" s="1434"/>
      <c r="AK27" s="1439"/>
      <c r="AL27" s="1434"/>
      <c r="AM27" s="1417"/>
      <c r="AN27" s="1443"/>
      <c r="AO27" s="1439"/>
      <c r="AP27" s="1434"/>
      <c r="AQ27" s="1439"/>
      <c r="AR27" s="1434"/>
      <c r="AS27" s="1417"/>
      <c r="AT27" s="1443"/>
      <c r="AU27" s="1439"/>
      <c r="AV27" s="1416"/>
      <c r="AW27" s="1446"/>
      <c r="AX27" s="1443"/>
      <c r="AY27" s="1417"/>
      <c r="AZ27" s="1452"/>
      <c r="BA27" s="1446"/>
    </row>
  </sheetData>
  <sheetProtection/>
  <mergeCells count="26">
    <mergeCell ref="AP1:AQ1"/>
    <mergeCell ref="AF1:AG1"/>
    <mergeCell ref="AH1:AI1"/>
    <mergeCell ref="AJ1:AK1"/>
    <mergeCell ref="AL1:AM1"/>
    <mergeCell ref="AN1:AO1"/>
    <mergeCell ref="B1:C1"/>
    <mergeCell ref="D1:E1"/>
    <mergeCell ref="H1:I1"/>
    <mergeCell ref="F1:G1"/>
    <mergeCell ref="R1:S1"/>
    <mergeCell ref="AZ1:BA1"/>
    <mergeCell ref="AX1:AY1"/>
    <mergeCell ref="AV1:AW1"/>
    <mergeCell ref="AT1:AU1"/>
    <mergeCell ref="AR1:AS1"/>
    <mergeCell ref="P1:Q1"/>
    <mergeCell ref="N1:O1"/>
    <mergeCell ref="L1:M1"/>
    <mergeCell ref="J1:K1"/>
    <mergeCell ref="X1:Y1"/>
    <mergeCell ref="AD1:AE1"/>
    <mergeCell ref="AB1:AC1"/>
    <mergeCell ref="V1:W1"/>
    <mergeCell ref="T1:U1"/>
    <mergeCell ref="Z1:AA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8.28125" style="0" bestFit="1" customWidth="1"/>
    <col min="2" max="12" width="9.140625" style="1822" customWidth="1"/>
  </cols>
  <sheetData>
    <row r="1" spans="1:11" ht="15.75" customHeight="1" thickBot="1">
      <c r="A1" s="2172" t="s">
        <v>614</v>
      </c>
      <c r="B1" s="2172"/>
      <c r="C1" s="2172"/>
      <c r="D1" s="2172"/>
      <c r="E1" s="2172"/>
      <c r="F1" s="2172"/>
      <c r="G1" s="2172"/>
      <c r="H1" s="2172"/>
      <c r="I1" s="2172"/>
      <c r="J1" s="2172"/>
      <c r="K1" s="2172"/>
    </row>
    <row r="2" spans="1:11" ht="17.25" thickBot="1">
      <c r="A2" s="2167" t="s">
        <v>606</v>
      </c>
      <c r="B2" s="2169" t="s">
        <v>612</v>
      </c>
      <c r="C2" s="2170"/>
      <c r="D2" s="2170"/>
      <c r="E2" s="2170"/>
      <c r="F2" s="2171"/>
      <c r="G2" s="2169" t="s">
        <v>613</v>
      </c>
      <c r="H2" s="2170"/>
      <c r="I2" s="2170"/>
      <c r="J2" s="2170"/>
      <c r="K2" s="2171"/>
    </row>
    <row r="3" spans="1:11" ht="17.25" thickBot="1">
      <c r="A3" s="2168"/>
      <c r="B3" s="1876" t="s">
        <v>607</v>
      </c>
      <c r="C3" s="1876" t="s">
        <v>608</v>
      </c>
      <c r="D3" s="1876" t="s">
        <v>609</v>
      </c>
      <c r="E3" s="1876" t="s">
        <v>610</v>
      </c>
      <c r="F3" s="1876" t="s">
        <v>611</v>
      </c>
      <c r="G3" s="1876" t="s">
        <v>607</v>
      </c>
      <c r="H3" s="1876" t="s">
        <v>608</v>
      </c>
      <c r="I3" s="1876" t="s">
        <v>609</v>
      </c>
      <c r="J3" s="1876" t="s">
        <v>610</v>
      </c>
      <c r="K3" s="1876" t="s">
        <v>611</v>
      </c>
    </row>
    <row r="4" spans="1:11" ht="15.75" thickBot="1">
      <c r="A4" s="1873" t="s">
        <v>615</v>
      </c>
      <c r="B4" s="1877">
        <v>78</v>
      </c>
      <c r="C4" s="1877">
        <v>65</v>
      </c>
      <c r="D4" s="1877">
        <v>55</v>
      </c>
      <c r="E4" s="1877">
        <v>51</v>
      </c>
      <c r="F4" s="1877">
        <v>41</v>
      </c>
      <c r="G4" s="1877">
        <v>65</v>
      </c>
      <c r="H4" s="1877">
        <v>52</v>
      </c>
      <c r="I4" s="1877">
        <v>43</v>
      </c>
      <c r="J4" s="1877">
        <v>40</v>
      </c>
      <c r="K4" s="1877">
        <v>33</v>
      </c>
    </row>
    <row r="5" spans="1:11" ht="15.75" thickBot="1">
      <c r="A5" s="1873" t="s">
        <v>616</v>
      </c>
      <c r="B5" s="1877">
        <v>80</v>
      </c>
      <c r="C5" s="1877">
        <v>69</v>
      </c>
      <c r="D5" s="1877">
        <v>49</v>
      </c>
      <c r="E5" s="1877">
        <v>33</v>
      </c>
      <c r="F5" s="1877">
        <v>30</v>
      </c>
      <c r="G5" s="1877">
        <v>82</v>
      </c>
      <c r="H5" s="1877">
        <v>74</v>
      </c>
      <c r="I5" s="1877">
        <v>52</v>
      </c>
      <c r="J5" s="1877">
        <v>45</v>
      </c>
      <c r="K5" s="1877">
        <v>47</v>
      </c>
    </row>
    <row r="6" spans="1:11" ht="15.75" thickBot="1">
      <c r="A6" s="1873" t="s">
        <v>617</v>
      </c>
      <c r="B6" s="1877">
        <v>65</v>
      </c>
      <c r="C6" s="1877">
        <v>58</v>
      </c>
      <c r="D6" s="1877">
        <v>58</v>
      </c>
      <c r="E6" s="1877">
        <v>41</v>
      </c>
      <c r="F6" s="1877">
        <v>44</v>
      </c>
      <c r="G6" s="1877">
        <v>62</v>
      </c>
      <c r="H6" s="1877">
        <v>50</v>
      </c>
      <c r="I6" s="1877">
        <v>51</v>
      </c>
      <c r="J6" s="1877">
        <v>42</v>
      </c>
      <c r="K6" s="1877">
        <v>46</v>
      </c>
    </row>
    <row r="7" spans="1:11" ht="15.75" thickBot="1">
      <c r="A7" s="1873" t="s">
        <v>618</v>
      </c>
      <c r="B7" s="1877">
        <v>72</v>
      </c>
      <c r="C7" s="1877">
        <v>66.1</v>
      </c>
      <c r="D7" s="1877">
        <v>50.2</v>
      </c>
      <c r="E7" s="1877">
        <v>42.7</v>
      </c>
      <c r="F7" s="1877">
        <v>33.7</v>
      </c>
      <c r="G7" s="1877">
        <v>60.9</v>
      </c>
      <c r="H7" s="1877">
        <v>51.9</v>
      </c>
      <c r="I7" s="1877">
        <v>43.4</v>
      </c>
      <c r="J7" s="1877">
        <v>35</v>
      </c>
      <c r="K7" s="1877">
        <v>23.9</v>
      </c>
    </row>
    <row r="8" spans="1:11" ht="15.75" thickBot="1">
      <c r="A8" s="1873" t="s">
        <v>619</v>
      </c>
      <c r="B8" s="1877">
        <v>47.8</v>
      </c>
      <c r="C8" s="1877">
        <v>49.2</v>
      </c>
      <c r="D8" s="1877">
        <v>42.3</v>
      </c>
      <c r="E8" s="1877">
        <v>38.4</v>
      </c>
      <c r="F8" s="1877">
        <v>33.4</v>
      </c>
      <c r="G8" s="1877">
        <v>54.9</v>
      </c>
      <c r="H8" s="1877">
        <v>55.4</v>
      </c>
      <c r="I8" s="1877">
        <v>47.6</v>
      </c>
      <c r="J8" s="1877">
        <v>41.7</v>
      </c>
      <c r="K8" s="1877">
        <v>35.6</v>
      </c>
    </row>
    <row r="9" spans="1:11" ht="15.75" thickBot="1">
      <c r="A9" s="1873" t="s">
        <v>620</v>
      </c>
      <c r="B9" s="1877">
        <v>81</v>
      </c>
      <c r="C9" s="1877">
        <v>70.2</v>
      </c>
      <c r="D9" s="1877">
        <v>62.1</v>
      </c>
      <c r="E9" s="1877">
        <v>58.3</v>
      </c>
      <c r="F9" s="1877">
        <v>47.6</v>
      </c>
      <c r="G9" s="1877"/>
      <c r="H9" s="1877"/>
      <c r="I9" s="1877"/>
      <c r="J9" s="1877"/>
      <c r="K9" s="1877"/>
    </row>
    <row r="10" spans="1:11" ht="15.75" thickBot="1">
      <c r="A10" s="1873" t="s">
        <v>621</v>
      </c>
      <c r="B10" s="1877">
        <v>90.53</v>
      </c>
      <c r="C10" s="1877">
        <v>83.13</v>
      </c>
      <c r="D10" s="1877">
        <v>74.76</v>
      </c>
      <c r="E10" s="1877">
        <v>65.45</v>
      </c>
      <c r="F10" s="1877">
        <v>50.1</v>
      </c>
      <c r="G10" s="1877">
        <v>91.47</v>
      </c>
      <c r="H10" s="1877">
        <v>82.4</v>
      </c>
      <c r="I10" s="1877">
        <v>74.76</v>
      </c>
      <c r="J10" s="1877">
        <v>63.08</v>
      </c>
      <c r="K10" s="1877">
        <v>40.2</v>
      </c>
    </row>
    <row r="11" spans="1:11" ht="15.75" thickBot="1">
      <c r="A11" s="1873" t="s">
        <v>622</v>
      </c>
      <c r="B11" s="1877">
        <v>75.51</v>
      </c>
      <c r="C11" s="1877">
        <v>66.35</v>
      </c>
      <c r="D11" s="1877">
        <v>51.95</v>
      </c>
      <c r="E11" s="1877">
        <v>51.58</v>
      </c>
      <c r="F11" s="1877">
        <v>46.21</v>
      </c>
      <c r="G11" s="1877"/>
      <c r="H11" s="1877"/>
      <c r="I11" s="1877"/>
      <c r="J11" s="1877"/>
      <c r="K11" s="1877"/>
    </row>
    <row r="12" spans="1:11" ht="15.75" thickBot="1">
      <c r="A12" s="1873" t="s">
        <v>623</v>
      </c>
      <c r="B12" s="1877"/>
      <c r="C12" s="1877"/>
      <c r="D12" s="1877"/>
      <c r="E12" s="1877"/>
      <c r="F12" s="1877"/>
      <c r="G12" s="1877">
        <v>71.1</v>
      </c>
      <c r="H12" s="1877">
        <v>57.2</v>
      </c>
      <c r="I12" s="1877">
        <v>47.1</v>
      </c>
      <c r="J12" s="1877">
        <v>48.2</v>
      </c>
      <c r="K12" s="1877">
        <v>49.1</v>
      </c>
    </row>
    <row r="13" spans="1:11" ht="15.75" thickBot="1">
      <c r="A13" s="1874" t="s">
        <v>624</v>
      </c>
      <c r="B13" s="1877">
        <v>60.72</v>
      </c>
      <c r="C13" s="1877">
        <v>38.75</v>
      </c>
      <c r="D13" s="1877">
        <v>29.74</v>
      </c>
      <c r="E13" s="1877">
        <v>20.25</v>
      </c>
      <c r="F13" s="1877">
        <v>17.9</v>
      </c>
      <c r="G13" s="1877">
        <v>51.41</v>
      </c>
      <c r="H13" s="1877">
        <v>12.29</v>
      </c>
      <c r="I13" s="1877">
        <v>36.95</v>
      </c>
      <c r="J13" s="1877">
        <v>23.84</v>
      </c>
      <c r="K13" s="1877">
        <v>16.42</v>
      </c>
    </row>
    <row r="14" spans="1:11" ht="15.75" thickBot="1">
      <c r="A14" s="1873" t="s">
        <v>625</v>
      </c>
      <c r="B14" s="1877">
        <v>88.75</v>
      </c>
      <c r="C14" s="1877">
        <v>77.61</v>
      </c>
      <c r="D14" s="1877">
        <v>71.35</v>
      </c>
      <c r="E14" s="1877">
        <v>67.27</v>
      </c>
      <c r="F14" s="1877">
        <v>55.5</v>
      </c>
      <c r="G14" s="1877">
        <v>70.81</v>
      </c>
      <c r="H14" s="1877">
        <v>60.16</v>
      </c>
      <c r="I14" s="1877">
        <v>54.29</v>
      </c>
      <c r="J14" s="1877">
        <v>53.25</v>
      </c>
      <c r="K14" s="1877">
        <v>46.51</v>
      </c>
    </row>
    <row r="15" spans="1:11" ht="15.75" thickBot="1">
      <c r="A15" s="1873" t="s">
        <v>626</v>
      </c>
      <c r="B15" s="1877">
        <v>82.2</v>
      </c>
      <c r="C15" s="1877">
        <v>75.4</v>
      </c>
      <c r="D15" s="1877">
        <v>69.3</v>
      </c>
      <c r="E15" s="1877">
        <v>63</v>
      </c>
      <c r="F15" s="1877">
        <v>58.4</v>
      </c>
      <c r="G15" s="1877">
        <v>77.3</v>
      </c>
      <c r="H15" s="1877">
        <v>69.2</v>
      </c>
      <c r="I15" s="1877">
        <v>64.7</v>
      </c>
      <c r="J15" s="1877">
        <v>60.1</v>
      </c>
      <c r="K15" s="1877">
        <v>53.8</v>
      </c>
    </row>
    <row r="16" spans="1:11" ht="15.75" thickBot="1">
      <c r="A16" s="1873" t="s">
        <v>627</v>
      </c>
      <c r="B16" s="1877">
        <v>83.11</v>
      </c>
      <c r="C16" s="1877">
        <v>74.84</v>
      </c>
      <c r="D16" s="1877">
        <v>65.38</v>
      </c>
      <c r="E16" s="1877">
        <v>69.41</v>
      </c>
      <c r="F16" s="1877">
        <v>54.19</v>
      </c>
      <c r="G16" s="1877">
        <v>71.08</v>
      </c>
      <c r="H16" s="1877">
        <v>60.42</v>
      </c>
      <c r="I16" s="1877">
        <v>47.46</v>
      </c>
      <c r="J16" s="1877">
        <v>46.37</v>
      </c>
      <c r="K16" s="1877">
        <v>48.97</v>
      </c>
    </row>
    <row r="17" spans="1:11" ht="15.75" thickBot="1">
      <c r="A17" s="1873" t="s">
        <v>628</v>
      </c>
      <c r="B17" s="1877">
        <v>75.07</v>
      </c>
      <c r="C17" s="1877">
        <v>67.66</v>
      </c>
      <c r="D17" s="1877">
        <v>63.29</v>
      </c>
      <c r="E17" s="1877">
        <v>51.27</v>
      </c>
      <c r="F17" s="1877">
        <v>38.05</v>
      </c>
      <c r="G17" s="1877">
        <v>65.43</v>
      </c>
      <c r="H17" s="1877">
        <v>57.58</v>
      </c>
      <c r="I17" s="1877">
        <v>53.1</v>
      </c>
      <c r="J17" s="1877">
        <v>45.32</v>
      </c>
      <c r="K17" s="1877">
        <v>37.3</v>
      </c>
    </row>
    <row r="18" spans="1:11" ht="15.75" thickBot="1">
      <c r="A18" s="1873" t="s">
        <v>629</v>
      </c>
      <c r="B18" s="1877">
        <v>86.58</v>
      </c>
      <c r="C18" s="1877">
        <v>77.99</v>
      </c>
      <c r="D18" s="1877">
        <v>70.04</v>
      </c>
      <c r="E18" s="1877">
        <v>61.85</v>
      </c>
      <c r="F18" s="1877">
        <v>60.86</v>
      </c>
      <c r="G18" s="1877"/>
      <c r="H18" s="1877"/>
      <c r="I18" s="1877"/>
      <c r="J18" s="1877"/>
      <c r="K18" s="1877"/>
    </row>
    <row r="19" spans="1:11" ht="15.75" thickBot="1">
      <c r="A19" s="1873" t="s">
        <v>630</v>
      </c>
      <c r="B19" s="1877">
        <v>86</v>
      </c>
      <c r="C19" s="1877">
        <v>72</v>
      </c>
      <c r="D19" s="1877">
        <v>65</v>
      </c>
      <c r="E19" s="1877">
        <v>60</v>
      </c>
      <c r="F19" s="1877">
        <v>54</v>
      </c>
      <c r="G19" s="1877">
        <v>81</v>
      </c>
      <c r="H19" s="1877">
        <v>69</v>
      </c>
      <c r="I19" s="1877">
        <v>62</v>
      </c>
      <c r="J19" s="1877">
        <v>56</v>
      </c>
      <c r="K19" s="1877">
        <v>50</v>
      </c>
    </row>
    <row r="20" spans="1:11" ht="15.75" thickBot="1">
      <c r="A20" s="1873" t="s">
        <v>631</v>
      </c>
      <c r="B20" s="1877">
        <v>72</v>
      </c>
      <c r="C20" s="1877">
        <v>65</v>
      </c>
      <c r="D20" s="1877">
        <v>54</v>
      </c>
      <c r="E20" s="1877">
        <v>44</v>
      </c>
      <c r="F20" s="1877">
        <v>30</v>
      </c>
      <c r="G20" s="1877"/>
      <c r="H20" s="1877"/>
      <c r="I20" s="1877"/>
      <c r="J20" s="1877"/>
      <c r="K20" s="1877"/>
    </row>
    <row r="21" spans="1:11" ht="15.75" thickBot="1">
      <c r="A21" s="1873" t="s">
        <v>632</v>
      </c>
      <c r="B21" s="1877"/>
      <c r="C21" s="1877"/>
      <c r="D21" s="1877"/>
      <c r="E21" s="1877"/>
      <c r="F21" s="1877"/>
      <c r="G21" s="1877">
        <v>78.6</v>
      </c>
      <c r="H21" s="1877">
        <v>66</v>
      </c>
      <c r="I21" s="1877">
        <v>53.5</v>
      </c>
      <c r="J21" s="1877">
        <v>45.7</v>
      </c>
      <c r="K21" s="1877">
        <v>40.7</v>
      </c>
    </row>
    <row r="22" spans="1:11" ht="15.75" thickBot="1">
      <c r="A22" s="1873" t="s">
        <v>633</v>
      </c>
      <c r="B22" s="1877"/>
      <c r="C22" s="1877"/>
      <c r="D22" s="1877"/>
      <c r="E22" s="1877"/>
      <c r="F22" s="1877"/>
      <c r="G22" s="1877"/>
      <c r="H22" s="1877"/>
      <c r="I22" s="1877"/>
      <c r="J22" s="1877"/>
      <c r="K22" s="1877"/>
    </row>
    <row r="23" spans="1:11" ht="15.75" thickBot="1">
      <c r="A23" s="1873" t="s">
        <v>634</v>
      </c>
      <c r="B23" s="1877">
        <v>81.49</v>
      </c>
      <c r="C23" s="1877">
        <v>73.85</v>
      </c>
      <c r="D23" s="1877">
        <v>65.12</v>
      </c>
      <c r="E23" s="1877">
        <v>60.39</v>
      </c>
      <c r="F23" s="1877">
        <v>46.44</v>
      </c>
      <c r="G23" s="1877">
        <v>52.8</v>
      </c>
      <c r="H23" s="1877">
        <v>48.9</v>
      </c>
      <c r="I23" s="1877">
        <v>50.02</v>
      </c>
      <c r="J23" s="1877">
        <v>46.95</v>
      </c>
      <c r="K23" s="1877">
        <v>39.84</v>
      </c>
    </row>
    <row r="24" spans="1:11" ht="15.75" thickBot="1">
      <c r="A24" s="1873" t="s">
        <v>635</v>
      </c>
      <c r="B24" s="1877">
        <v>57.7</v>
      </c>
      <c r="C24" s="1877">
        <v>49.3</v>
      </c>
      <c r="D24" s="1877">
        <v>39.4</v>
      </c>
      <c r="E24" s="1877">
        <v>32.1</v>
      </c>
      <c r="F24" s="1877">
        <v>43.4</v>
      </c>
      <c r="G24" s="1877">
        <v>50.2</v>
      </c>
      <c r="H24" s="1877">
        <v>35.9</v>
      </c>
      <c r="I24" s="1877">
        <v>23.6</v>
      </c>
      <c r="J24" s="1877">
        <v>17.2</v>
      </c>
      <c r="K24" s="1877">
        <v>19.2</v>
      </c>
    </row>
    <row r="25" spans="1:11" ht="15.75" thickBot="1">
      <c r="A25" s="1873" t="s">
        <v>636</v>
      </c>
      <c r="B25" s="1877">
        <v>69.35</v>
      </c>
      <c r="C25" s="1877">
        <v>60.83</v>
      </c>
      <c r="D25" s="1877">
        <v>50.81</v>
      </c>
      <c r="E25" s="1877">
        <v>42.39</v>
      </c>
      <c r="F25" s="1877">
        <v>33.6</v>
      </c>
      <c r="G25" s="1877">
        <v>62.46</v>
      </c>
      <c r="H25" s="1877">
        <v>54.53</v>
      </c>
      <c r="I25" s="1877">
        <v>45.66</v>
      </c>
      <c r="J25" s="1877">
        <v>35.86</v>
      </c>
      <c r="K25" s="1877">
        <v>28.36</v>
      </c>
    </row>
    <row r="26" spans="1:11" ht="15.75" thickBot="1">
      <c r="A26" s="1875" t="s">
        <v>637</v>
      </c>
      <c r="B26" s="1877">
        <v>81.55</v>
      </c>
      <c r="C26" s="1877">
        <v>73</v>
      </c>
      <c r="D26" s="1877">
        <v>65.64</v>
      </c>
      <c r="E26" s="1877">
        <v>68.69</v>
      </c>
      <c r="F26" s="1877">
        <v>49.86</v>
      </c>
      <c r="G26" s="1877">
        <v>71.87</v>
      </c>
      <c r="H26" s="1877">
        <v>64.1</v>
      </c>
      <c r="I26" s="1877">
        <v>51.1</v>
      </c>
      <c r="J26" s="1877">
        <v>42.31</v>
      </c>
      <c r="K26" s="1877">
        <v>45.27</v>
      </c>
    </row>
    <row r="27" spans="1:11" ht="15.75" thickBot="1">
      <c r="A27" s="1873" t="s">
        <v>210</v>
      </c>
      <c r="B27" s="1877">
        <v>72</v>
      </c>
      <c r="C27" s="1877">
        <v>67</v>
      </c>
      <c r="D27" s="1877">
        <v>62</v>
      </c>
      <c r="E27" s="1877">
        <v>56</v>
      </c>
      <c r="F27" s="1877">
        <v>52</v>
      </c>
      <c r="G27" s="1877">
        <v>62</v>
      </c>
      <c r="H27" s="1877">
        <v>56</v>
      </c>
      <c r="I27" s="1877">
        <v>51</v>
      </c>
      <c r="J27" s="1877">
        <v>46</v>
      </c>
      <c r="K27" s="1877">
        <v>43</v>
      </c>
    </row>
  </sheetData>
  <sheetProtection/>
  <mergeCells count="4">
    <mergeCell ref="A2:A3"/>
    <mergeCell ref="B2:F2"/>
    <mergeCell ref="G2:K2"/>
    <mergeCell ref="A1:K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T8" sqref="T8"/>
    </sheetView>
  </sheetViews>
  <sheetFormatPr defaultColWidth="9.140625" defaultRowHeight="15"/>
  <cols>
    <col min="1" max="1" width="51.28125" style="139" bestFit="1" customWidth="1"/>
    <col min="2" max="2" width="10.421875" style="139" bestFit="1" customWidth="1"/>
    <col min="3" max="3" width="13.8515625" style="139" bestFit="1" customWidth="1"/>
    <col min="4" max="4" width="10.7109375" style="139" bestFit="1" customWidth="1"/>
    <col min="5" max="5" width="10.57421875" style="139" bestFit="1" customWidth="1"/>
    <col min="6" max="6" width="10.421875" style="139" bestFit="1" customWidth="1"/>
    <col min="7" max="7" width="13.8515625" style="139" bestFit="1" customWidth="1"/>
    <col min="8" max="8" width="12.140625" style="139" bestFit="1" customWidth="1"/>
    <col min="9" max="10" width="10.421875" style="139" bestFit="1" customWidth="1"/>
    <col min="11" max="11" width="12.140625" style="139" bestFit="1" customWidth="1"/>
    <col min="12" max="12" width="10.421875" style="139" bestFit="1" customWidth="1"/>
    <col min="13" max="13" width="12.140625" style="139" bestFit="1" customWidth="1"/>
    <col min="14" max="15" width="10.421875" style="139" bestFit="1" customWidth="1"/>
    <col min="16" max="16" width="11.7109375" style="139" bestFit="1" customWidth="1"/>
    <col min="17" max="17" width="10.421875" style="139" bestFit="1" customWidth="1"/>
    <col min="18" max="18" width="11.00390625" style="139" bestFit="1" customWidth="1"/>
    <col min="19" max="22" width="10.421875" style="139" bestFit="1" customWidth="1"/>
    <col min="23" max="23" width="10.7109375" style="139" bestFit="1" customWidth="1"/>
    <col min="24" max="24" width="10.421875" style="139" bestFit="1" customWidth="1"/>
    <col min="25" max="25" width="11.57421875" style="139" bestFit="1" customWidth="1"/>
    <col min="26" max="26" width="12.8515625" style="139" bestFit="1" customWidth="1"/>
    <col min="27" max="27" width="11.57421875" style="139" bestFit="1" customWidth="1"/>
    <col min="28" max="16384" width="9.140625" style="139" customWidth="1"/>
  </cols>
  <sheetData>
    <row r="1" ht="17.25" thickBot="1">
      <c r="A1" s="752" t="s">
        <v>458</v>
      </c>
    </row>
    <row r="2" spans="1:27" s="758" customFormat="1" ht="75" customHeight="1" thickBot="1">
      <c r="A2" s="2005" t="s">
        <v>0</v>
      </c>
      <c r="B2" s="1054" t="s">
        <v>187</v>
      </c>
      <c r="C2" s="829" t="s">
        <v>188</v>
      </c>
      <c r="D2" s="829" t="s">
        <v>189</v>
      </c>
      <c r="E2" s="829" t="s">
        <v>190</v>
      </c>
      <c r="F2" s="829" t="s">
        <v>191</v>
      </c>
      <c r="G2" s="829" t="s">
        <v>192</v>
      </c>
      <c r="H2" s="829" t="s">
        <v>193</v>
      </c>
      <c r="I2" s="829" t="s">
        <v>194</v>
      </c>
      <c r="J2" s="829" t="s">
        <v>195</v>
      </c>
      <c r="K2" s="829" t="s">
        <v>196</v>
      </c>
      <c r="L2" s="829" t="s">
        <v>197</v>
      </c>
      <c r="M2" s="829" t="s">
        <v>198</v>
      </c>
      <c r="N2" s="829" t="s">
        <v>199</v>
      </c>
      <c r="O2" s="829" t="s">
        <v>200</v>
      </c>
      <c r="P2" s="829" t="s">
        <v>201</v>
      </c>
      <c r="Q2" s="829" t="s">
        <v>202</v>
      </c>
      <c r="R2" s="829" t="s">
        <v>203</v>
      </c>
      <c r="S2" s="829" t="s">
        <v>204</v>
      </c>
      <c r="T2" s="829" t="s">
        <v>205</v>
      </c>
      <c r="U2" s="829" t="s">
        <v>206</v>
      </c>
      <c r="V2" s="829" t="s">
        <v>207</v>
      </c>
      <c r="W2" s="829" t="s">
        <v>208</v>
      </c>
      <c r="X2" s="829" t="s">
        <v>209</v>
      </c>
      <c r="Y2" s="1000" t="s">
        <v>1</v>
      </c>
      <c r="Z2" s="828" t="s">
        <v>210</v>
      </c>
      <c r="AA2" s="1000" t="s">
        <v>2</v>
      </c>
    </row>
    <row r="3" spans="1:27" s="913" customFormat="1" ht="30.75" customHeight="1" thickBot="1">
      <c r="A3" s="2006"/>
      <c r="B3" s="998" t="s">
        <v>443</v>
      </c>
      <c r="C3" s="998" t="s">
        <v>443</v>
      </c>
      <c r="D3" s="998" t="s">
        <v>443</v>
      </c>
      <c r="E3" s="998" t="s">
        <v>443</v>
      </c>
      <c r="F3" s="998" t="s">
        <v>443</v>
      </c>
      <c r="G3" s="998" t="s">
        <v>443</v>
      </c>
      <c r="H3" s="998" t="s">
        <v>443</v>
      </c>
      <c r="I3" s="998" t="s">
        <v>443</v>
      </c>
      <c r="J3" s="998" t="s">
        <v>443</v>
      </c>
      <c r="K3" s="998" t="s">
        <v>443</v>
      </c>
      <c r="L3" s="998" t="s">
        <v>443</v>
      </c>
      <c r="M3" s="998" t="s">
        <v>443</v>
      </c>
      <c r="N3" s="998" t="s">
        <v>443</v>
      </c>
      <c r="O3" s="998" t="s">
        <v>443</v>
      </c>
      <c r="P3" s="998" t="s">
        <v>443</v>
      </c>
      <c r="Q3" s="998" t="s">
        <v>443</v>
      </c>
      <c r="R3" s="998" t="s">
        <v>443</v>
      </c>
      <c r="S3" s="998" t="s">
        <v>443</v>
      </c>
      <c r="T3" s="998" t="s">
        <v>443</v>
      </c>
      <c r="U3" s="998" t="s">
        <v>443</v>
      </c>
      <c r="V3" s="998" t="s">
        <v>443</v>
      </c>
      <c r="W3" s="998" t="s">
        <v>443</v>
      </c>
      <c r="X3" s="998" t="s">
        <v>443</v>
      </c>
      <c r="Y3" s="998" t="s">
        <v>443</v>
      </c>
      <c r="Z3" s="998" t="s">
        <v>443</v>
      </c>
      <c r="AA3" s="998" t="s">
        <v>443</v>
      </c>
    </row>
    <row r="4" spans="1:27" ht="16.5">
      <c r="A4" s="926" t="s">
        <v>378</v>
      </c>
      <c r="B4" s="1055"/>
      <c r="C4" s="1056"/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1056"/>
      <c r="Y4" s="1055"/>
      <c r="Z4" s="1057"/>
      <c r="AA4" s="1058"/>
    </row>
    <row r="5" spans="1:27" ht="16.5">
      <c r="A5" s="924" t="s">
        <v>379</v>
      </c>
      <c r="B5" s="765">
        <v>2377012</v>
      </c>
      <c r="C5" s="755">
        <v>91296</v>
      </c>
      <c r="D5" s="755">
        <v>337363</v>
      </c>
      <c r="E5" s="755">
        <v>1892188</v>
      </c>
      <c r="F5" s="755">
        <v>94785</v>
      </c>
      <c r="G5" s="755">
        <v>940372</v>
      </c>
      <c r="H5" s="755">
        <v>35936</v>
      </c>
      <c r="I5" s="755">
        <v>68746</v>
      </c>
      <c r="J5" s="755">
        <v>180764</v>
      </c>
      <c r="K5" s="755">
        <v>61724</v>
      </c>
      <c r="L5" s="755">
        <v>5446138</v>
      </c>
      <c r="M5" s="755">
        <v>9856652</v>
      </c>
      <c r="N5" s="755">
        <v>272828</v>
      </c>
      <c r="O5" s="755">
        <v>405254</v>
      </c>
      <c r="P5" s="755">
        <v>1363838</v>
      </c>
      <c r="Q5" s="755"/>
      <c r="R5" s="755">
        <v>618143</v>
      </c>
      <c r="S5" s="755">
        <v>558055</v>
      </c>
      <c r="T5" s="755"/>
      <c r="U5" s="755">
        <v>6503725</v>
      </c>
      <c r="V5" s="755">
        <v>52132</v>
      </c>
      <c r="W5" s="755">
        <v>254420</v>
      </c>
      <c r="X5" s="755">
        <v>984487</v>
      </c>
      <c r="Y5" s="765">
        <f>SUM(B5:X5)</f>
        <v>32395858</v>
      </c>
      <c r="Z5" s="763">
        <v>4370392</v>
      </c>
      <c r="AA5" s="765">
        <f>Y5+Z5</f>
        <v>36766250</v>
      </c>
    </row>
    <row r="6" spans="1:27" ht="16.5">
      <c r="A6" s="924" t="s">
        <v>380</v>
      </c>
      <c r="B6" s="765"/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755"/>
      <c r="R6" s="755"/>
      <c r="S6" s="755"/>
      <c r="T6" s="755"/>
      <c r="U6" s="755"/>
      <c r="V6" s="755"/>
      <c r="W6" s="755"/>
      <c r="X6" s="755"/>
      <c r="Y6" s="765">
        <f aca="true" t="shared" si="0" ref="Y6:Y22">SUM(B6:X6)</f>
        <v>0</v>
      </c>
      <c r="Z6" s="763"/>
      <c r="AA6" s="765">
        <f aca="true" t="shared" si="1" ref="AA6:AA22">Y6+Z6</f>
        <v>0</v>
      </c>
    </row>
    <row r="7" spans="1:27" ht="16.5">
      <c r="A7" s="924" t="s">
        <v>381</v>
      </c>
      <c r="B7" s="765">
        <v>167077</v>
      </c>
      <c r="C7" s="755">
        <v>3722</v>
      </c>
      <c r="D7" s="755">
        <v>39039</v>
      </c>
      <c r="E7" s="755">
        <v>392698</v>
      </c>
      <c r="F7" s="755">
        <v>10305</v>
      </c>
      <c r="G7" s="755">
        <v>11171</v>
      </c>
      <c r="H7" s="755">
        <v>1245</v>
      </c>
      <c r="I7" s="755">
        <v>2712</v>
      </c>
      <c r="J7" s="755">
        <v>11321</v>
      </c>
      <c r="K7" s="755">
        <v>1579</v>
      </c>
      <c r="L7" s="755">
        <v>921296</v>
      </c>
      <c r="M7" s="755">
        <v>1384521</v>
      </c>
      <c r="N7" s="755">
        <v>8436</v>
      </c>
      <c r="O7" s="755">
        <v>20511</v>
      </c>
      <c r="P7" s="755">
        <v>81437</v>
      </c>
      <c r="Q7" s="755"/>
      <c r="R7" s="755">
        <v>24164</v>
      </c>
      <c r="S7" s="755">
        <v>42931</v>
      </c>
      <c r="T7" s="755"/>
      <c r="U7" s="755">
        <v>831337</v>
      </c>
      <c r="V7" s="755">
        <v>1315</v>
      </c>
      <c r="W7" s="755">
        <v>12420</v>
      </c>
      <c r="X7" s="755">
        <v>85708</v>
      </c>
      <c r="Y7" s="765">
        <f t="shared" si="0"/>
        <v>4054945</v>
      </c>
      <c r="Z7" s="763">
        <v>1984660</v>
      </c>
      <c r="AA7" s="765">
        <f t="shared" si="1"/>
        <v>6039605</v>
      </c>
    </row>
    <row r="8" spans="1:27" ht="16.5">
      <c r="A8" s="924" t="s">
        <v>382</v>
      </c>
      <c r="B8" s="765">
        <v>7113</v>
      </c>
      <c r="C8" s="757"/>
      <c r="D8" s="755"/>
      <c r="E8" s="755"/>
      <c r="F8" s="755"/>
      <c r="G8" s="755"/>
      <c r="H8" s="755"/>
      <c r="I8" s="755"/>
      <c r="J8" s="755"/>
      <c r="K8" s="755"/>
      <c r="L8" s="755"/>
      <c r="M8" s="755">
        <v>102255</v>
      </c>
      <c r="N8" s="755"/>
      <c r="O8" s="755">
        <v>2696</v>
      </c>
      <c r="P8" s="755"/>
      <c r="Q8" s="755"/>
      <c r="R8" s="755"/>
      <c r="S8" s="755">
        <v>2336</v>
      </c>
      <c r="T8" s="755"/>
      <c r="U8" s="755"/>
      <c r="V8" s="755"/>
      <c r="W8" s="755"/>
      <c r="X8" s="755">
        <v>5878</v>
      </c>
      <c r="Y8" s="765">
        <f t="shared" si="0"/>
        <v>120278</v>
      </c>
      <c r="Z8" s="763">
        <v>168607</v>
      </c>
      <c r="AA8" s="765">
        <f t="shared" si="1"/>
        <v>288885</v>
      </c>
    </row>
    <row r="9" spans="1:27" ht="16.5">
      <c r="A9" s="924" t="s">
        <v>384</v>
      </c>
      <c r="B9" s="765"/>
      <c r="C9" s="757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65">
        <f t="shared" si="0"/>
        <v>0</v>
      </c>
      <c r="Z9" s="763"/>
      <c r="AA9" s="765">
        <f t="shared" si="1"/>
        <v>0</v>
      </c>
    </row>
    <row r="10" spans="1:27" ht="16.5">
      <c r="A10" s="924" t="s">
        <v>385</v>
      </c>
      <c r="B10" s="765"/>
      <c r="C10" s="757"/>
      <c r="D10" s="755"/>
      <c r="E10" s="755"/>
      <c r="F10" s="755"/>
      <c r="G10" s="755"/>
      <c r="H10" s="755"/>
      <c r="I10" s="755"/>
      <c r="J10" s="755">
        <v>9558</v>
      </c>
      <c r="K10" s="755"/>
      <c r="L10" s="755"/>
      <c r="M10" s="755"/>
      <c r="N10" s="755"/>
      <c r="O10" s="755"/>
      <c r="P10" s="755"/>
      <c r="Q10" s="755"/>
      <c r="R10" s="755"/>
      <c r="S10" s="755"/>
      <c r="T10" s="755"/>
      <c r="U10" s="755"/>
      <c r="V10" s="755"/>
      <c r="W10" s="755"/>
      <c r="X10" s="755"/>
      <c r="Y10" s="765">
        <f t="shared" si="0"/>
        <v>9558</v>
      </c>
      <c r="Z10" s="763"/>
      <c r="AA10" s="765">
        <f t="shared" si="1"/>
        <v>9558</v>
      </c>
    </row>
    <row r="11" spans="1:27" ht="16.5">
      <c r="A11" s="927" t="s">
        <v>383</v>
      </c>
      <c r="B11" s="765"/>
      <c r="C11" s="755"/>
      <c r="D11" s="755"/>
      <c r="E11" s="755"/>
      <c r="F11" s="755"/>
      <c r="G11" s="755"/>
      <c r="H11" s="755"/>
      <c r="I11" s="755"/>
      <c r="J11" s="755"/>
      <c r="K11" s="755"/>
      <c r="L11" s="755"/>
      <c r="M11" s="755"/>
      <c r="N11" s="755"/>
      <c r="O11" s="755"/>
      <c r="P11" s="755"/>
      <c r="Q11" s="755"/>
      <c r="R11" s="755"/>
      <c r="S11" s="755"/>
      <c r="T11" s="755"/>
      <c r="U11" s="755"/>
      <c r="V11" s="755"/>
      <c r="W11" s="755"/>
      <c r="X11" s="755"/>
      <c r="Y11" s="765">
        <f t="shared" si="0"/>
        <v>0</v>
      </c>
      <c r="Z11" s="763"/>
      <c r="AA11" s="765">
        <f t="shared" si="1"/>
        <v>0</v>
      </c>
    </row>
    <row r="12" spans="1:27" ht="16.5">
      <c r="A12" s="924" t="s">
        <v>379</v>
      </c>
      <c r="B12" s="765">
        <v>902768</v>
      </c>
      <c r="C12" s="755">
        <v>126618</v>
      </c>
      <c r="D12" s="755">
        <v>483115</v>
      </c>
      <c r="E12" s="755">
        <v>1680515</v>
      </c>
      <c r="F12" s="755">
        <v>467616</v>
      </c>
      <c r="G12" s="755">
        <v>401382</v>
      </c>
      <c r="H12" s="755">
        <v>334850</v>
      </c>
      <c r="I12" s="755">
        <v>144881</v>
      </c>
      <c r="J12" s="755">
        <v>956772</v>
      </c>
      <c r="K12" s="755">
        <v>267040</v>
      </c>
      <c r="L12" s="755">
        <v>4191592</v>
      </c>
      <c r="M12" s="755">
        <v>3449410</v>
      </c>
      <c r="N12" s="755">
        <v>563883</v>
      </c>
      <c r="O12" s="755">
        <v>290189</v>
      </c>
      <c r="P12" s="755">
        <v>1286229</v>
      </c>
      <c r="Q12" s="755"/>
      <c r="R12" s="755">
        <v>1280560</v>
      </c>
      <c r="S12" s="755">
        <v>1280177</v>
      </c>
      <c r="T12" s="755"/>
      <c r="U12" s="755">
        <v>5685056</v>
      </c>
      <c r="V12" s="755">
        <v>331912.7</v>
      </c>
      <c r="W12" s="755">
        <v>461907</v>
      </c>
      <c r="X12" s="755">
        <v>1553058</v>
      </c>
      <c r="Y12" s="765">
        <f t="shared" si="0"/>
        <v>26139530.7</v>
      </c>
      <c r="Z12" s="763">
        <v>232572254</v>
      </c>
      <c r="AA12" s="765">
        <f t="shared" si="1"/>
        <v>258711784.7</v>
      </c>
    </row>
    <row r="13" spans="1:27" ht="16.5">
      <c r="A13" s="924" t="s">
        <v>380</v>
      </c>
      <c r="B13" s="765">
        <v>17028</v>
      </c>
      <c r="C13" s="755">
        <v>30</v>
      </c>
      <c r="D13" s="755">
        <v>4188</v>
      </c>
      <c r="E13" s="755">
        <v>18459</v>
      </c>
      <c r="F13" s="755"/>
      <c r="G13" s="755">
        <v>12677</v>
      </c>
      <c r="H13" s="755"/>
      <c r="I13" s="755">
        <v>3152</v>
      </c>
      <c r="J13" s="755">
        <v>9148</v>
      </c>
      <c r="K13" s="755">
        <v>884</v>
      </c>
      <c r="L13" s="755">
        <v>571794</v>
      </c>
      <c r="M13" s="755">
        <v>363669</v>
      </c>
      <c r="N13" s="755"/>
      <c r="O13" s="755">
        <v>167</v>
      </c>
      <c r="P13" s="755">
        <v>19654</v>
      </c>
      <c r="Q13" s="755"/>
      <c r="R13" s="755">
        <v>3095</v>
      </c>
      <c r="S13" s="755">
        <v>4830</v>
      </c>
      <c r="T13" s="755"/>
      <c r="U13" s="755">
        <v>306515</v>
      </c>
      <c r="V13" s="755">
        <v>697.51</v>
      </c>
      <c r="W13" s="755">
        <v>16257</v>
      </c>
      <c r="X13" s="755">
        <v>26769</v>
      </c>
      <c r="Y13" s="765">
        <f t="shared" si="0"/>
        <v>1379013.51</v>
      </c>
      <c r="Z13" s="763">
        <v>7448387</v>
      </c>
      <c r="AA13" s="765">
        <f t="shared" si="1"/>
        <v>8827400.51</v>
      </c>
    </row>
    <row r="14" spans="1:27" ht="16.5">
      <c r="A14" s="924" t="s">
        <v>381</v>
      </c>
      <c r="B14" s="765">
        <v>213913</v>
      </c>
      <c r="C14" s="755">
        <v>285</v>
      </c>
      <c r="D14" s="755">
        <v>16047</v>
      </c>
      <c r="E14" s="755">
        <v>729854</v>
      </c>
      <c r="F14" s="755">
        <v>562</v>
      </c>
      <c r="G14" s="755">
        <v>73528</v>
      </c>
      <c r="H14" s="755"/>
      <c r="I14" s="755">
        <v>6218</v>
      </c>
      <c r="J14" s="755">
        <v>180389</v>
      </c>
      <c r="K14" s="755">
        <v>37018</v>
      </c>
      <c r="L14" s="755">
        <v>876417</v>
      </c>
      <c r="M14" s="755">
        <v>84528</v>
      </c>
      <c r="N14" s="755">
        <v>5650</v>
      </c>
      <c r="O14" s="755">
        <v>677858</v>
      </c>
      <c r="P14" s="755">
        <v>64945</v>
      </c>
      <c r="Q14" s="755"/>
      <c r="R14" s="755">
        <v>15205</v>
      </c>
      <c r="S14" s="755">
        <v>11886</v>
      </c>
      <c r="T14" s="755"/>
      <c r="U14" s="755">
        <v>626514</v>
      </c>
      <c r="V14" s="755"/>
      <c r="W14" s="755">
        <v>48406</v>
      </c>
      <c r="X14" s="755">
        <v>62874</v>
      </c>
      <c r="Y14" s="765">
        <f t="shared" si="0"/>
        <v>3732097</v>
      </c>
      <c r="Z14" s="763">
        <v>44516051</v>
      </c>
      <c r="AA14" s="765">
        <f t="shared" si="1"/>
        <v>48248148</v>
      </c>
    </row>
    <row r="15" spans="1:27" ht="16.5">
      <c r="A15" s="924" t="s">
        <v>382</v>
      </c>
      <c r="B15" s="765">
        <v>52</v>
      </c>
      <c r="C15" s="755">
        <v>192</v>
      </c>
      <c r="D15" s="755">
        <v>1016</v>
      </c>
      <c r="E15" s="755">
        <v>1067</v>
      </c>
      <c r="F15" s="755">
        <v>1366</v>
      </c>
      <c r="G15" s="755">
        <v>110</v>
      </c>
      <c r="H15" s="755">
        <v>325</v>
      </c>
      <c r="I15" s="755">
        <v>447</v>
      </c>
      <c r="J15" s="755">
        <v>67</v>
      </c>
      <c r="K15" s="755">
        <v>752</v>
      </c>
      <c r="L15" s="755">
        <v>5942</v>
      </c>
      <c r="M15" s="755">
        <v>3330</v>
      </c>
      <c r="N15" s="755"/>
      <c r="O15" s="755">
        <v>260</v>
      </c>
      <c r="P15" s="755"/>
      <c r="Q15" s="755"/>
      <c r="R15" s="755">
        <v>12721</v>
      </c>
      <c r="S15" s="755">
        <v>1478</v>
      </c>
      <c r="T15" s="755"/>
      <c r="U15" s="755">
        <v>171</v>
      </c>
      <c r="V15" s="755">
        <v>40.61</v>
      </c>
      <c r="W15" s="755">
        <v>6238</v>
      </c>
      <c r="X15" s="755">
        <v>2374</v>
      </c>
      <c r="Y15" s="765">
        <f t="shared" si="0"/>
        <v>37948.61</v>
      </c>
      <c r="Z15" s="763">
        <v>79189</v>
      </c>
      <c r="AA15" s="765">
        <f t="shared" si="1"/>
        <v>117137.61</v>
      </c>
    </row>
    <row r="16" spans="1:27" ht="17.25" thickBot="1">
      <c r="A16" s="928" t="s">
        <v>384</v>
      </c>
      <c r="B16" s="929">
        <v>262221</v>
      </c>
      <c r="C16" s="925"/>
      <c r="D16" s="925"/>
      <c r="E16" s="925"/>
      <c r="F16" s="925"/>
      <c r="G16" s="925"/>
      <c r="H16" s="925"/>
      <c r="I16" s="925"/>
      <c r="J16" s="925">
        <v>279</v>
      </c>
      <c r="K16" s="925"/>
      <c r="L16" s="925"/>
      <c r="M16" s="925"/>
      <c r="N16" s="925"/>
      <c r="O16" s="925"/>
      <c r="P16" s="925"/>
      <c r="Q16" s="925"/>
      <c r="R16" s="925"/>
      <c r="S16" s="925"/>
      <c r="T16" s="925"/>
      <c r="U16" s="925"/>
      <c r="V16" s="925"/>
      <c r="W16" s="925"/>
      <c r="X16" s="925"/>
      <c r="Y16" s="765">
        <f t="shared" si="0"/>
        <v>262500</v>
      </c>
      <c r="Z16" s="1052"/>
      <c r="AA16" s="765">
        <f t="shared" si="1"/>
        <v>262500</v>
      </c>
    </row>
    <row r="17" spans="1:27" ht="16.5">
      <c r="A17" s="924" t="s">
        <v>385</v>
      </c>
      <c r="B17" s="765"/>
      <c r="C17" s="755"/>
      <c r="D17" s="755"/>
      <c r="E17" s="755"/>
      <c r="F17" s="755"/>
      <c r="G17" s="755"/>
      <c r="H17" s="755"/>
      <c r="I17" s="755"/>
      <c r="J17" s="755">
        <v>6064</v>
      </c>
      <c r="K17" s="755"/>
      <c r="L17" s="755"/>
      <c r="M17" s="755"/>
      <c r="N17" s="755"/>
      <c r="O17" s="755"/>
      <c r="P17" s="755"/>
      <c r="Q17" s="755"/>
      <c r="R17" s="755"/>
      <c r="S17" s="755"/>
      <c r="T17" s="755"/>
      <c r="U17" s="755"/>
      <c r="V17" s="755"/>
      <c r="W17" s="755"/>
      <c r="X17" s="755"/>
      <c r="Y17" s="765">
        <f t="shared" si="0"/>
        <v>6064</v>
      </c>
      <c r="Z17" s="763"/>
      <c r="AA17" s="765">
        <f t="shared" si="1"/>
        <v>6064</v>
      </c>
    </row>
    <row r="18" spans="1:27" ht="16.5">
      <c r="A18" s="139" t="s">
        <v>386</v>
      </c>
      <c r="B18" s="765"/>
      <c r="C18" s="755"/>
      <c r="D18" s="755"/>
      <c r="E18" s="755"/>
      <c r="F18" s="755"/>
      <c r="G18" s="755"/>
      <c r="H18" s="755"/>
      <c r="I18" s="755"/>
      <c r="J18" s="755"/>
      <c r="K18" s="755"/>
      <c r="L18" s="755"/>
      <c r="M18" s="755"/>
      <c r="N18" s="755"/>
      <c r="O18" s="755"/>
      <c r="P18" s="755"/>
      <c r="Q18" s="755"/>
      <c r="R18" s="755"/>
      <c r="S18" s="755"/>
      <c r="T18" s="755"/>
      <c r="U18" s="755"/>
      <c r="V18" s="755"/>
      <c r="W18" s="755"/>
      <c r="X18" s="755"/>
      <c r="Y18" s="765">
        <f t="shared" si="0"/>
        <v>0</v>
      </c>
      <c r="Z18" s="763"/>
      <c r="AA18" s="765">
        <f t="shared" si="1"/>
        <v>0</v>
      </c>
    </row>
    <row r="19" spans="1:27" ht="16.5">
      <c r="A19" s="924" t="s">
        <v>379</v>
      </c>
      <c r="B19" s="765"/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755">
        <v>18407</v>
      </c>
      <c r="N19" s="75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65">
        <f t="shared" si="0"/>
        <v>18407</v>
      </c>
      <c r="Z19" s="763"/>
      <c r="AA19" s="765">
        <f t="shared" si="1"/>
        <v>18407</v>
      </c>
    </row>
    <row r="20" spans="1:27" ht="16.5">
      <c r="A20" s="924" t="s">
        <v>380</v>
      </c>
      <c r="B20" s="765"/>
      <c r="C20" s="755"/>
      <c r="D20" s="755"/>
      <c r="E20" s="755"/>
      <c r="F20" s="755"/>
      <c r="G20" s="755"/>
      <c r="H20" s="755"/>
      <c r="I20" s="755"/>
      <c r="J20" s="755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755"/>
      <c r="V20" s="755"/>
      <c r="W20" s="755"/>
      <c r="X20" s="755"/>
      <c r="Y20" s="765">
        <f t="shared" si="0"/>
        <v>0</v>
      </c>
      <c r="Z20" s="763"/>
      <c r="AA20" s="765">
        <f t="shared" si="1"/>
        <v>0</v>
      </c>
    </row>
    <row r="21" spans="1:27" ht="16.5">
      <c r="A21" s="924" t="s">
        <v>381</v>
      </c>
      <c r="B21" s="765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>
        <v>10118</v>
      </c>
      <c r="N21" s="755"/>
      <c r="O21" s="755"/>
      <c r="P21" s="755"/>
      <c r="Q21" s="755"/>
      <c r="R21" s="755"/>
      <c r="S21" s="755"/>
      <c r="T21" s="755"/>
      <c r="U21" s="755"/>
      <c r="V21" s="755"/>
      <c r="W21" s="755"/>
      <c r="X21" s="755"/>
      <c r="Y21" s="765">
        <f t="shared" si="0"/>
        <v>10118</v>
      </c>
      <c r="Z21" s="763"/>
      <c r="AA21" s="765">
        <f t="shared" si="1"/>
        <v>10118</v>
      </c>
    </row>
    <row r="22" spans="1:27" ht="17.25" thickBot="1">
      <c r="A22" s="924" t="s">
        <v>382</v>
      </c>
      <c r="B22" s="768"/>
      <c r="C22" s="756"/>
      <c r="D22" s="756"/>
      <c r="E22" s="756"/>
      <c r="F22" s="756"/>
      <c r="G22" s="756"/>
      <c r="H22" s="756"/>
      <c r="I22" s="756"/>
      <c r="J22" s="756"/>
      <c r="K22" s="756"/>
      <c r="L22" s="756"/>
      <c r="M22" s="756"/>
      <c r="N22" s="756"/>
      <c r="O22" s="756"/>
      <c r="P22" s="756"/>
      <c r="Q22" s="756"/>
      <c r="R22" s="756"/>
      <c r="S22" s="756"/>
      <c r="T22" s="756"/>
      <c r="U22" s="756"/>
      <c r="V22" s="756"/>
      <c r="W22" s="756"/>
      <c r="X22" s="756"/>
      <c r="Y22" s="768">
        <f t="shared" si="0"/>
        <v>0</v>
      </c>
      <c r="Z22" s="1053"/>
      <c r="AA22" s="768">
        <f t="shared" si="1"/>
        <v>0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EX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O11" sqref="O11"/>
    </sheetView>
  </sheetViews>
  <sheetFormatPr defaultColWidth="9.140625" defaultRowHeight="15"/>
  <cols>
    <col min="1" max="1" width="9.8515625" style="14" bestFit="1" customWidth="1"/>
    <col min="2" max="2" width="9.00390625" style="14" customWidth="1"/>
    <col min="3" max="3" width="8.7109375" style="14" bestFit="1" customWidth="1"/>
    <col min="4" max="4" width="7.28125" style="14" bestFit="1" customWidth="1"/>
    <col min="5" max="5" width="8.7109375" style="14" customWidth="1"/>
    <col min="6" max="6" width="8.8515625" style="14" customWidth="1"/>
    <col min="7" max="8" width="9.7109375" style="14" customWidth="1"/>
    <col min="9" max="9" width="5.57421875" style="14" bestFit="1" customWidth="1"/>
    <col min="10" max="10" width="7.7109375" style="14" customWidth="1"/>
    <col min="11" max="11" width="9.140625" style="14" customWidth="1"/>
    <col min="12" max="12" width="8.7109375" style="14" customWidth="1"/>
    <col min="13" max="13" width="9.28125" style="14" customWidth="1"/>
    <col min="14" max="15" width="8.140625" style="14" customWidth="1"/>
    <col min="16" max="16" width="9.28125" style="14" customWidth="1"/>
    <col min="17" max="17" width="8.28125" style="14" customWidth="1"/>
    <col min="18" max="18" width="8.7109375" style="14" customWidth="1"/>
    <col min="19" max="19" width="9.28125" style="14" customWidth="1"/>
    <col min="20" max="20" width="8.00390625" style="14" customWidth="1"/>
    <col min="21" max="21" width="9.7109375" style="14" customWidth="1"/>
    <col min="22" max="22" width="9.28125" style="14" customWidth="1"/>
    <col min="23" max="23" width="10.00390625" style="14" customWidth="1"/>
    <col min="24" max="24" width="9.8515625" style="14" customWidth="1"/>
    <col min="25" max="25" width="9.28125" style="14" customWidth="1"/>
    <col min="26" max="26" width="8.8515625" style="14" customWidth="1"/>
    <col min="27" max="27" width="7.57421875" style="14" customWidth="1"/>
    <col min="28" max="28" width="5.140625" style="14" bestFit="1" customWidth="1"/>
    <col min="29" max="29" width="8.28125" style="14" customWidth="1"/>
    <col min="30" max="30" width="7.57421875" style="14" customWidth="1"/>
    <col min="31" max="31" width="9.28125" style="14" customWidth="1"/>
    <col min="32" max="32" width="10.00390625" style="14" customWidth="1"/>
    <col min="33" max="33" width="5.140625" style="14" bestFit="1" customWidth="1"/>
    <col min="34" max="34" width="5.140625" style="14" customWidth="1"/>
    <col min="35" max="35" width="9.00390625" style="14" customWidth="1"/>
    <col min="36" max="37" width="9.28125" style="14" customWidth="1"/>
    <col min="38" max="38" width="9.00390625" style="14" customWidth="1"/>
    <col min="39" max="39" width="10.421875" style="14" bestFit="1" customWidth="1"/>
    <col min="40" max="40" width="7.28125" style="14" customWidth="1"/>
    <col min="41" max="41" width="10.00390625" style="14" customWidth="1"/>
    <col min="42" max="42" width="9.28125" style="14" customWidth="1"/>
    <col min="43" max="43" width="10.140625" style="14" customWidth="1"/>
    <col min="44" max="44" width="8.57421875" style="14" customWidth="1"/>
    <col min="45" max="45" width="7.00390625" style="14" customWidth="1"/>
    <col min="46" max="46" width="7.140625" style="14" customWidth="1"/>
    <col min="47" max="47" width="9.140625" style="14" customWidth="1"/>
    <col min="48" max="48" width="8.57421875" style="14" customWidth="1"/>
    <col min="49" max="49" width="9.00390625" style="14" customWidth="1"/>
    <col min="50" max="50" width="10.28125" style="14" customWidth="1"/>
    <col min="51" max="52" width="7.421875" style="14" customWidth="1"/>
    <col min="53" max="53" width="9.140625" style="14" customWidth="1"/>
    <col min="54" max="55" width="8.8515625" style="14" customWidth="1"/>
    <col min="56" max="56" width="10.140625" style="14" customWidth="1"/>
    <col min="57" max="57" width="5.140625" style="14" bestFit="1" customWidth="1"/>
    <col min="58" max="58" width="7.00390625" style="14" customWidth="1"/>
    <col min="59" max="59" width="9.28125" style="14" customWidth="1"/>
    <col min="60" max="60" width="9.140625" style="14" customWidth="1"/>
    <col min="61" max="61" width="8.57421875" style="14" bestFit="1" customWidth="1"/>
    <col min="62" max="62" width="8.57421875" style="14" customWidth="1"/>
    <col min="63" max="63" width="8.7109375" style="14" customWidth="1"/>
    <col min="64" max="64" width="5.8515625" style="14" bestFit="1" customWidth="1"/>
    <col min="65" max="65" width="9.7109375" style="14" customWidth="1"/>
    <col min="66" max="66" width="9.140625" style="14" customWidth="1"/>
    <col min="67" max="68" width="9.28125" style="14" customWidth="1"/>
    <col min="69" max="69" width="8.7109375" style="14" bestFit="1" customWidth="1"/>
    <col min="70" max="70" width="8.8515625" style="14" customWidth="1"/>
    <col min="71" max="71" width="10.28125" style="14" customWidth="1"/>
    <col min="72" max="72" width="9.28125" style="14" customWidth="1"/>
    <col min="73" max="73" width="10.140625" style="14" customWidth="1"/>
    <col min="74" max="74" width="8.7109375" style="14" customWidth="1"/>
    <col min="75" max="75" width="7.00390625" style="14" bestFit="1" customWidth="1"/>
    <col min="76" max="76" width="7.00390625" style="14" customWidth="1"/>
    <col min="77" max="77" width="8.421875" style="14" customWidth="1"/>
    <col min="78" max="78" width="9.7109375" style="14" customWidth="1"/>
    <col min="79" max="79" width="9.28125" style="14" customWidth="1"/>
    <col min="80" max="80" width="8.8515625" style="14" customWidth="1"/>
    <col min="81" max="81" width="8.421875" style="14" customWidth="1"/>
    <col min="82" max="82" width="9.28125" style="14" customWidth="1"/>
    <col min="83" max="83" width="9.421875" style="14" customWidth="1"/>
    <col min="84" max="84" width="8.7109375" style="14" customWidth="1"/>
    <col min="85" max="85" width="11.140625" style="14" customWidth="1"/>
    <col min="86" max="86" width="8.8515625" style="14" customWidth="1"/>
    <col min="87" max="87" width="8.00390625" style="14" customWidth="1"/>
    <col min="88" max="88" width="9.8515625" style="14" bestFit="1" customWidth="1"/>
    <col min="89" max="89" width="8.7109375" style="14" customWidth="1"/>
    <col min="90" max="90" width="10.421875" style="14" bestFit="1" customWidth="1"/>
    <col min="91" max="91" width="12.00390625" style="14" customWidth="1"/>
    <col min="92" max="92" width="9.140625" style="14" customWidth="1"/>
    <col min="93" max="94" width="9.28125" style="14" customWidth="1"/>
    <col min="95" max="95" width="8.7109375" style="14" customWidth="1"/>
    <col min="96" max="97" width="9.28125" style="14" customWidth="1"/>
    <col min="98" max="98" width="10.140625" style="14" customWidth="1"/>
    <col min="99" max="99" width="7.140625" style="14" bestFit="1" customWidth="1"/>
    <col min="100" max="100" width="7.140625" style="14" customWidth="1"/>
    <col min="101" max="101" width="9.00390625" style="14" customWidth="1"/>
    <col min="102" max="102" width="9.57421875" style="14" customWidth="1"/>
    <col min="103" max="103" width="10.57421875" style="14" customWidth="1"/>
    <col min="104" max="104" width="9.140625" style="14" customWidth="1"/>
    <col min="105" max="105" width="7.421875" style="14" customWidth="1"/>
    <col min="106" max="106" width="7.57421875" style="14" customWidth="1"/>
    <col min="107" max="107" width="9.7109375" style="14" customWidth="1"/>
    <col min="108" max="108" width="10.57421875" style="14" bestFit="1" customWidth="1"/>
    <col min="109" max="109" width="10.140625" style="14" customWidth="1"/>
    <col min="110" max="110" width="10.00390625" style="14" customWidth="1"/>
    <col min="111" max="111" width="5.140625" style="14" bestFit="1" customWidth="1"/>
    <col min="112" max="112" width="5.140625" style="14" customWidth="1"/>
    <col min="113" max="113" width="12.421875" style="14" bestFit="1" customWidth="1"/>
    <col min="114" max="114" width="10.57421875" style="14" bestFit="1" customWidth="1"/>
    <col min="115" max="115" width="9.140625" style="14" customWidth="1"/>
    <col min="116" max="116" width="10.57421875" style="14" customWidth="1"/>
    <col min="117" max="117" width="10.57421875" style="14" bestFit="1" customWidth="1"/>
    <col min="118" max="118" width="6.7109375" style="14" bestFit="1" customWidth="1"/>
    <col min="119" max="119" width="12.421875" style="14" bestFit="1" customWidth="1"/>
    <col min="120" max="120" width="10.57421875" style="14" bestFit="1" customWidth="1"/>
    <col min="121" max="121" width="11.421875" style="14" customWidth="1"/>
    <col min="122" max="122" width="9.421875" style="14" customWidth="1"/>
    <col min="123" max="123" width="7.00390625" style="14" bestFit="1" customWidth="1"/>
    <col min="124" max="124" width="7.7109375" style="14" customWidth="1"/>
    <col min="125" max="125" width="9.7109375" style="14" customWidth="1"/>
    <col min="126" max="126" width="10.57421875" style="14" bestFit="1" customWidth="1"/>
    <col min="127" max="127" width="9.28125" style="14" customWidth="1"/>
    <col min="128" max="128" width="12.421875" style="14" bestFit="1" customWidth="1"/>
    <col min="129" max="129" width="5.140625" style="14" bestFit="1" customWidth="1"/>
    <col min="130" max="130" width="7.57421875" style="14" customWidth="1"/>
    <col min="131" max="131" width="12.421875" style="14" bestFit="1" customWidth="1"/>
    <col min="132" max="132" width="10.57421875" style="14" bestFit="1" customWidth="1"/>
    <col min="133" max="133" width="9.28125" style="14" customWidth="1"/>
    <col min="134" max="134" width="12.421875" style="14" bestFit="1" customWidth="1"/>
    <col min="135" max="135" width="7.00390625" style="14" customWidth="1"/>
    <col min="136" max="136" width="7.421875" style="14" customWidth="1"/>
    <col min="137" max="137" width="12.421875" style="14" bestFit="1" customWidth="1"/>
    <col min="138" max="138" width="10.57421875" style="14" bestFit="1" customWidth="1"/>
    <col min="139" max="139" width="9.28125" style="14" customWidth="1"/>
    <col min="140" max="140" width="9.8515625" style="14" customWidth="1"/>
    <col min="141" max="142" width="9.57421875" style="14" customWidth="1"/>
    <col min="143" max="143" width="10.421875" style="14" bestFit="1" customWidth="1"/>
    <col min="144" max="144" width="10.57421875" style="14" bestFit="1" customWidth="1"/>
    <col min="145" max="145" width="9.57421875" style="14" customWidth="1"/>
    <col min="146" max="147" width="9.140625" style="51" customWidth="1"/>
    <col min="148" max="148" width="9.140625" style="14" customWidth="1"/>
    <col min="149" max="149" width="10.421875" style="14" bestFit="1" customWidth="1"/>
    <col min="150" max="150" width="10.140625" style="14" bestFit="1" customWidth="1"/>
    <col min="151" max="151" width="10.140625" style="14" customWidth="1"/>
    <col min="152" max="16384" width="9.140625" style="14" customWidth="1"/>
  </cols>
  <sheetData>
    <row r="1" spans="1:147" s="126" customFormat="1" ht="14.25" thickBot="1">
      <c r="A1" s="126" t="s">
        <v>638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531"/>
      <c r="CM1" s="531"/>
      <c r="CN1" s="531"/>
      <c r="CO1" s="531"/>
      <c r="CP1" s="531"/>
      <c r="CQ1" s="531"/>
      <c r="CR1" s="531"/>
      <c r="CS1" s="531"/>
      <c r="CT1" s="531"/>
      <c r="CU1" s="531"/>
      <c r="CV1" s="531"/>
      <c r="CW1" s="531"/>
      <c r="CX1" s="531"/>
      <c r="CY1" s="531"/>
      <c r="CZ1" s="531"/>
      <c r="DA1" s="531"/>
      <c r="DB1" s="531"/>
      <c r="DC1" s="531"/>
      <c r="DD1" s="531"/>
      <c r="DE1" s="531"/>
      <c r="DF1" s="531"/>
      <c r="DG1" s="531"/>
      <c r="DH1" s="531"/>
      <c r="DI1" s="531"/>
      <c r="DJ1" s="531"/>
      <c r="DK1" s="531"/>
      <c r="DL1" s="531"/>
      <c r="DM1" s="531"/>
      <c r="DN1" s="531"/>
      <c r="DO1" s="531"/>
      <c r="DP1" s="531"/>
      <c r="DQ1" s="531"/>
      <c r="DR1" s="531"/>
      <c r="DS1" s="531"/>
      <c r="DT1" s="531"/>
      <c r="DU1" s="531"/>
      <c r="DV1" s="531"/>
      <c r="DW1" s="531"/>
      <c r="DX1" s="531"/>
      <c r="DY1" s="531"/>
      <c r="DZ1" s="531"/>
      <c r="EA1" s="531"/>
      <c r="EB1" s="531"/>
      <c r="EC1" s="531"/>
      <c r="ED1" s="531"/>
      <c r="EE1" s="531"/>
      <c r="EF1" s="531"/>
      <c r="EG1" s="531"/>
      <c r="EH1" s="531"/>
      <c r="EI1" s="531"/>
      <c r="EJ1" s="531"/>
      <c r="EK1" s="531"/>
      <c r="EL1" s="531"/>
      <c r="EM1" s="531"/>
      <c r="EN1" s="531"/>
      <c r="EO1" s="531"/>
      <c r="EP1" s="1234"/>
      <c r="EQ1" s="1234"/>
    </row>
    <row r="2" spans="1:151" ht="27.75" customHeight="1" thickBot="1">
      <c r="A2" s="1746" t="s">
        <v>530</v>
      </c>
      <c r="B2" s="2035" t="s">
        <v>427</v>
      </c>
      <c r="C2" s="2035"/>
      <c r="D2" s="2035"/>
      <c r="E2" s="2035"/>
      <c r="F2" s="2035"/>
      <c r="G2" s="2036"/>
      <c r="H2" s="2015" t="s">
        <v>188</v>
      </c>
      <c r="I2" s="2016"/>
      <c r="J2" s="2016"/>
      <c r="K2" s="2016"/>
      <c r="L2" s="2016"/>
      <c r="M2" s="2017"/>
      <c r="N2" s="2037" t="s">
        <v>189</v>
      </c>
      <c r="O2" s="2037"/>
      <c r="P2" s="2037"/>
      <c r="Q2" s="2037"/>
      <c r="R2" s="2037"/>
      <c r="S2" s="2038"/>
      <c r="T2" s="2039" t="s">
        <v>429</v>
      </c>
      <c r="U2" s="2040"/>
      <c r="V2" s="2040"/>
      <c r="W2" s="2040"/>
      <c r="X2" s="2040"/>
      <c r="Y2" s="2041"/>
      <c r="Z2" s="2039" t="s">
        <v>430</v>
      </c>
      <c r="AA2" s="2040"/>
      <c r="AB2" s="2040"/>
      <c r="AC2" s="2040"/>
      <c r="AD2" s="2040"/>
      <c r="AE2" s="2041"/>
      <c r="AF2" s="2015" t="s">
        <v>435</v>
      </c>
      <c r="AG2" s="2016"/>
      <c r="AH2" s="2016"/>
      <c r="AI2" s="2016"/>
      <c r="AJ2" s="2016"/>
      <c r="AK2" s="2017"/>
      <c r="AL2" s="2015" t="s">
        <v>431</v>
      </c>
      <c r="AM2" s="2016"/>
      <c r="AN2" s="2016"/>
      <c r="AO2" s="2016"/>
      <c r="AP2" s="2016"/>
      <c r="AQ2" s="2017"/>
      <c r="AR2" s="2015" t="s">
        <v>259</v>
      </c>
      <c r="AS2" s="2016"/>
      <c r="AT2" s="2016"/>
      <c r="AU2" s="2016"/>
      <c r="AV2" s="2016"/>
      <c r="AW2" s="2017"/>
      <c r="AX2" s="2032" t="s">
        <v>432</v>
      </c>
      <c r="AY2" s="2033"/>
      <c r="AZ2" s="2033"/>
      <c r="BA2" s="2033"/>
      <c r="BB2" s="2033"/>
      <c r="BC2" s="2034"/>
      <c r="BD2" s="2022" t="s">
        <v>433</v>
      </c>
      <c r="BE2" s="2023"/>
      <c r="BF2" s="2023"/>
      <c r="BG2" s="2023"/>
      <c r="BH2" s="2023"/>
      <c r="BI2" s="2024"/>
      <c r="BJ2" s="1340"/>
      <c r="BK2" s="2028" t="s">
        <v>434</v>
      </c>
      <c r="BL2" s="2023"/>
      <c r="BM2" s="2023"/>
      <c r="BN2" s="2023"/>
      <c r="BO2" s="2024"/>
      <c r="BP2" s="2015" t="s">
        <v>244</v>
      </c>
      <c r="BQ2" s="2016"/>
      <c r="BR2" s="2016"/>
      <c r="BS2" s="2016"/>
      <c r="BT2" s="2016"/>
      <c r="BU2" s="2017"/>
      <c r="BV2" s="2029" t="s">
        <v>220</v>
      </c>
      <c r="BW2" s="2030"/>
      <c r="BX2" s="2030"/>
      <c r="BY2" s="2030"/>
      <c r="BZ2" s="2030"/>
      <c r="CA2" s="2031"/>
      <c r="CB2" s="2022" t="s">
        <v>200</v>
      </c>
      <c r="CC2" s="2023"/>
      <c r="CD2" s="2023"/>
      <c r="CE2" s="2023"/>
      <c r="CF2" s="2023"/>
      <c r="CG2" s="2024"/>
      <c r="CH2" s="2025" t="s">
        <v>201</v>
      </c>
      <c r="CI2" s="2026"/>
      <c r="CJ2" s="2026"/>
      <c r="CK2" s="2026"/>
      <c r="CL2" s="2026"/>
      <c r="CM2" s="2027"/>
      <c r="CN2" s="2015" t="s">
        <v>202</v>
      </c>
      <c r="CO2" s="2016"/>
      <c r="CP2" s="2016"/>
      <c r="CQ2" s="2016"/>
      <c r="CR2" s="2016"/>
      <c r="CS2" s="2017"/>
      <c r="CT2" s="2022" t="s">
        <v>438</v>
      </c>
      <c r="CU2" s="2023"/>
      <c r="CV2" s="2023"/>
      <c r="CW2" s="2023"/>
      <c r="CX2" s="2023"/>
      <c r="CY2" s="2024"/>
      <c r="CZ2" s="2022" t="s">
        <v>239</v>
      </c>
      <c r="DA2" s="2023"/>
      <c r="DB2" s="2023"/>
      <c r="DC2" s="2023"/>
      <c r="DD2" s="2023"/>
      <c r="DE2" s="2024"/>
      <c r="DF2" s="2025" t="s">
        <v>205</v>
      </c>
      <c r="DG2" s="2026"/>
      <c r="DH2" s="2026"/>
      <c r="DI2" s="2026"/>
      <c r="DJ2" s="2026"/>
      <c r="DK2" s="2027"/>
      <c r="DL2" s="2015" t="s">
        <v>236</v>
      </c>
      <c r="DM2" s="2016"/>
      <c r="DN2" s="2016"/>
      <c r="DO2" s="2016"/>
      <c r="DP2" s="2016"/>
      <c r="DQ2" s="2017"/>
      <c r="DR2" s="2015" t="s">
        <v>436</v>
      </c>
      <c r="DS2" s="2016"/>
      <c r="DT2" s="2016"/>
      <c r="DU2" s="2016"/>
      <c r="DV2" s="2016"/>
      <c r="DW2" s="2017"/>
      <c r="DX2" s="2015" t="s">
        <v>208</v>
      </c>
      <c r="DY2" s="2016"/>
      <c r="DZ2" s="2016"/>
      <c r="EA2" s="2016"/>
      <c r="EB2" s="2016"/>
      <c r="EC2" s="2017"/>
      <c r="ED2" s="2018" t="s">
        <v>209</v>
      </c>
      <c r="EE2" s="2019"/>
      <c r="EF2" s="2019"/>
      <c r="EG2" s="2019"/>
      <c r="EH2" s="2019"/>
      <c r="EI2" s="2020"/>
      <c r="EJ2" s="2009" t="s">
        <v>210</v>
      </c>
      <c r="EK2" s="2010"/>
      <c r="EL2" s="2010"/>
      <c r="EM2" s="2010"/>
      <c r="EN2" s="2010"/>
      <c r="EO2" s="2011"/>
      <c r="EP2" s="2009" t="s">
        <v>437</v>
      </c>
      <c r="EQ2" s="2010"/>
      <c r="ER2" s="2010"/>
      <c r="ES2" s="2010"/>
      <c r="ET2" s="2010"/>
      <c r="EU2" s="2011"/>
    </row>
    <row r="3" spans="1:151" s="921" customFormat="1" ht="16.5" customHeight="1" thickBot="1">
      <c r="A3" s="1748"/>
      <c r="B3" s="2013" t="s">
        <v>422</v>
      </c>
      <c r="C3" s="2013"/>
      <c r="D3" s="2014"/>
      <c r="E3" s="2013" t="s">
        <v>428</v>
      </c>
      <c r="F3" s="2013"/>
      <c r="G3" s="2014"/>
      <c r="H3" s="2021" t="s">
        <v>422</v>
      </c>
      <c r="I3" s="2013"/>
      <c r="J3" s="2014"/>
      <c r="K3" s="2013" t="s">
        <v>428</v>
      </c>
      <c r="L3" s="2013"/>
      <c r="M3" s="2014"/>
      <c r="N3" s="2012" t="s">
        <v>422</v>
      </c>
      <c r="O3" s="2007"/>
      <c r="P3" s="2008"/>
      <c r="Q3" s="2012" t="s">
        <v>428</v>
      </c>
      <c r="R3" s="2007"/>
      <c r="S3" s="2008"/>
      <c r="T3" s="2012" t="s">
        <v>422</v>
      </c>
      <c r="U3" s="2007"/>
      <c r="V3" s="2008"/>
      <c r="W3" s="2012" t="s">
        <v>428</v>
      </c>
      <c r="X3" s="2007"/>
      <c r="Y3" s="2008"/>
      <c r="Z3" s="2012" t="s">
        <v>422</v>
      </c>
      <c r="AA3" s="2007"/>
      <c r="AB3" s="2008"/>
      <c r="AC3" s="2012" t="s">
        <v>428</v>
      </c>
      <c r="AD3" s="2007"/>
      <c r="AE3" s="2008"/>
      <c r="AF3" s="2012" t="s">
        <v>422</v>
      </c>
      <c r="AG3" s="2007"/>
      <c r="AH3" s="2008"/>
      <c r="AI3" s="2007" t="s">
        <v>428</v>
      </c>
      <c r="AJ3" s="2007"/>
      <c r="AK3" s="2008"/>
      <c r="AL3" s="2012" t="s">
        <v>422</v>
      </c>
      <c r="AM3" s="2007"/>
      <c r="AN3" s="2008"/>
      <c r="AO3" s="2007" t="s">
        <v>428</v>
      </c>
      <c r="AP3" s="2007"/>
      <c r="AQ3" s="2008"/>
      <c r="AR3" s="2012" t="s">
        <v>422</v>
      </c>
      <c r="AS3" s="2007"/>
      <c r="AT3" s="2008"/>
      <c r="AU3" s="2012" t="s">
        <v>428</v>
      </c>
      <c r="AV3" s="2007"/>
      <c r="AW3" s="2008"/>
      <c r="AX3" s="2012" t="s">
        <v>422</v>
      </c>
      <c r="AY3" s="2007"/>
      <c r="AZ3" s="2008"/>
      <c r="BA3" s="2012" t="s">
        <v>428</v>
      </c>
      <c r="BB3" s="2007"/>
      <c r="BC3" s="2008"/>
      <c r="BD3" s="2012" t="s">
        <v>422</v>
      </c>
      <c r="BE3" s="2007"/>
      <c r="BF3" s="2008"/>
      <c r="BG3" s="2012" t="s">
        <v>428</v>
      </c>
      <c r="BH3" s="2007"/>
      <c r="BI3" s="2008"/>
      <c r="BJ3" s="2012" t="s">
        <v>422</v>
      </c>
      <c r="BK3" s="2007"/>
      <c r="BL3" s="2008"/>
      <c r="BM3" s="2012" t="s">
        <v>428</v>
      </c>
      <c r="BN3" s="2007"/>
      <c r="BO3" s="2008"/>
      <c r="BP3" s="2012" t="s">
        <v>422</v>
      </c>
      <c r="BQ3" s="2007"/>
      <c r="BR3" s="2008"/>
      <c r="BS3" s="2012" t="s">
        <v>428</v>
      </c>
      <c r="BT3" s="2007"/>
      <c r="BU3" s="2008"/>
      <c r="BV3" s="2012" t="s">
        <v>422</v>
      </c>
      <c r="BW3" s="2007"/>
      <c r="BX3" s="2008"/>
      <c r="BY3" s="2007" t="s">
        <v>428</v>
      </c>
      <c r="BZ3" s="2007"/>
      <c r="CA3" s="2008"/>
      <c r="CB3" s="2012" t="s">
        <v>422</v>
      </c>
      <c r="CC3" s="2007"/>
      <c r="CD3" s="2008"/>
      <c r="CE3" s="2012" t="s">
        <v>428</v>
      </c>
      <c r="CF3" s="2007"/>
      <c r="CG3" s="2008"/>
      <c r="CH3" s="2012" t="s">
        <v>422</v>
      </c>
      <c r="CI3" s="2007"/>
      <c r="CJ3" s="2008"/>
      <c r="CK3" s="2012" t="s">
        <v>428</v>
      </c>
      <c r="CL3" s="2007"/>
      <c r="CM3" s="2008"/>
      <c r="CN3" s="2012" t="s">
        <v>422</v>
      </c>
      <c r="CO3" s="2007"/>
      <c r="CP3" s="2008"/>
      <c r="CQ3" s="2012" t="s">
        <v>428</v>
      </c>
      <c r="CR3" s="2007"/>
      <c r="CS3" s="2008"/>
      <c r="CT3" s="2012" t="s">
        <v>422</v>
      </c>
      <c r="CU3" s="2007"/>
      <c r="CV3" s="2008"/>
      <c r="CW3" s="2012" t="s">
        <v>428</v>
      </c>
      <c r="CX3" s="2007"/>
      <c r="CY3" s="2008"/>
      <c r="CZ3" s="2012" t="s">
        <v>422</v>
      </c>
      <c r="DA3" s="2007"/>
      <c r="DB3" s="2008"/>
      <c r="DC3" s="2013" t="s">
        <v>428</v>
      </c>
      <c r="DD3" s="2013"/>
      <c r="DE3" s="2014"/>
      <c r="DF3" s="2012" t="s">
        <v>422</v>
      </c>
      <c r="DG3" s="2007"/>
      <c r="DH3" s="2008"/>
      <c r="DI3" s="2007" t="s">
        <v>428</v>
      </c>
      <c r="DJ3" s="2007"/>
      <c r="DK3" s="2008"/>
      <c r="DL3" s="2012" t="s">
        <v>422</v>
      </c>
      <c r="DM3" s="2007"/>
      <c r="DN3" s="2008"/>
      <c r="DO3" s="2007" t="s">
        <v>428</v>
      </c>
      <c r="DP3" s="2007"/>
      <c r="DQ3" s="2008"/>
      <c r="DR3" s="2007" t="s">
        <v>422</v>
      </c>
      <c r="DS3" s="2007"/>
      <c r="DT3" s="2008"/>
      <c r="DU3" s="2007" t="s">
        <v>428</v>
      </c>
      <c r="DV3" s="2007"/>
      <c r="DW3" s="2008"/>
      <c r="DX3" s="2012" t="s">
        <v>422</v>
      </c>
      <c r="DY3" s="2007"/>
      <c r="DZ3" s="2008"/>
      <c r="EA3" s="2012" t="s">
        <v>428</v>
      </c>
      <c r="EB3" s="2007"/>
      <c r="EC3" s="2008"/>
      <c r="ED3" s="2012" t="s">
        <v>422</v>
      </c>
      <c r="EE3" s="2007"/>
      <c r="EF3" s="2008"/>
      <c r="EG3" s="2007" t="s">
        <v>428</v>
      </c>
      <c r="EH3" s="2007"/>
      <c r="EI3" s="2008"/>
      <c r="EJ3" s="2012" t="s">
        <v>422</v>
      </c>
      <c r="EK3" s="2007"/>
      <c r="EL3" s="2008"/>
      <c r="EM3" s="2007" t="s">
        <v>428</v>
      </c>
      <c r="EN3" s="2007"/>
      <c r="EO3" s="2008"/>
      <c r="EP3" s="2012" t="s">
        <v>422</v>
      </c>
      <c r="EQ3" s="2007"/>
      <c r="ER3" s="2008"/>
      <c r="ES3" s="2007" t="s">
        <v>428</v>
      </c>
      <c r="ET3" s="2007"/>
      <c r="EU3" s="2008"/>
    </row>
    <row r="4" spans="1:151" s="921" customFormat="1" ht="72" thickBot="1">
      <c r="A4" s="1749" t="s">
        <v>529</v>
      </c>
      <c r="B4" s="1344" t="s">
        <v>423</v>
      </c>
      <c r="C4" s="1344" t="s">
        <v>424</v>
      </c>
      <c r="D4" s="1601" t="s">
        <v>425</v>
      </c>
      <c r="E4" s="1465" t="s">
        <v>423</v>
      </c>
      <c r="F4" s="1465" t="s">
        <v>424</v>
      </c>
      <c r="G4" s="1466" t="s">
        <v>426</v>
      </c>
      <c r="H4" s="1341" t="s">
        <v>423</v>
      </c>
      <c r="I4" s="1342" t="s">
        <v>424</v>
      </c>
      <c r="J4" s="1343" t="s">
        <v>425</v>
      </c>
      <c r="K4" s="1342" t="s">
        <v>423</v>
      </c>
      <c r="L4" s="1342" t="s">
        <v>424</v>
      </c>
      <c r="M4" s="1343" t="s">
        <v>426</v>
      </c>
      <c r="N4" s="1341" t="s">
        <v>423</v>
      </c>
      <c r="O4" s="1342" t="s">
        <v>424</v>
      </c>
      <c r="P4" s="1343" t="s">
        <v>426</v>
      </c>
      <c r="Q4" s="1342" t="s">
        <v>423</v>
      </c>
      <c r="R4" s="1342" t="s">
        <v>424</v>
      </c>
      <c r="S4" s="1343" t="s">
        <v>426</v>
      </c>
      <c r="T4" s="1341" t="s">
        <v>423</v>
      </c>
      <c r="U4" s="1342" t="s">
        <v>424</v>
      </c>
      <c r="V4" s="1343" t="s">
        <v>426</v>
      </c>
      <c r="W4" s="1341" t="s">
        <v>423</v>
      </c>
      <c r="X4" s="1342" t="s">
        <v>424</v>
      </c>
      <c r="Y4" s="1343" t="s">
        <v>426</v>
      </c>
      <c r="Z4" s="1341" t="s">
        <v>423</v>
      </c>
      <c r="AA4" s="1342" t="s">
        <v>424</v>
      </c>
      <c r="AB4" s="1343" t="s">
        <v>426</v>
      </c>
      <c r="AC4" s="1341" t="s">
        <v>423</v>
      </c>
      <c r="AD4" s="1342" t="s">
        <v>424</v>
      </c>
      <c r="AE4" s="1343" t="s">
        <v>426</v>
      </c>
      <c r="AF4" s="1341" t="s">
        <v>423</v>
      </c>
      <c r="AG4" s="1342" t="s">
        <v>424</v>
      </c>
      <c r="AH4" s="1343" t="s">
        <v>426</v>
      </c>
      <c r="AI4" s="1342" t="s">
        <v>423</v>
      </c>
      <c r="AJ4" s="1342" t="s">
        <v>424</v>
      </c>
      <c r="AK4" s="1343" t="s">
        <v>426</v>
      </c>
      <c r="AL4" s="1341" t="s">
        <v>423</v>
      </c>
      <c r="AM4" s="1342" t="s">
        <v>424</v>
      </c>
      <c r="AN4" s="1343" t="s">
        <v>426</v>
      </c>
      <c r="AO4" s="1342" t="s">
        <v>423</v>
      </c>
      <c r="AP4" s="1342" t="s">
        <v>424</v>
      </c>
      <c r="AQ4" s="1343" t="s">
        <v>426</v>
      </c>
      <c r="AR4" s="1341" t="s">
        <v>423</v>
      </c>
      <c r="AS4" s="1342" t="s">
        <v>424</v>
      </c>
      <c r="AT4" s="1343" t="s">
        <v>426</v>
      </c>
      <c r="AU4" s="1341" t="s">
        <v>423</v>
      </c>
      <c r="AV4" s="1342" t="s">
        <v>424</v>
      </c>
      <c r="AW4" s="1343" t="s">
        <v>426</v>
      </c>
      <c r="AX4" s="1341" t="s">
        <v>423</v>
      </c>
      <c r="AY4" s="1342" t="s">
        <v>424</v>
      </c>
      <c r="AZ4" s="1343" t="s">
        <v>426</v>
      </c>
      <c r="BA4" s="1341" t="s">
        <v>423</v>
      </c>
      <c r="BB4" s="1342" t="s">
        <v>424</v>
      </c>
      <c r="BC4" s="1343" t="s">
        <v>426</v>
      </c>
      <c r="BD4" s="1341" t="s">
        <v>423</v>
      </c>
      <c r="BE4" s="1342" t="s">
        <v>424</v>
      </c>
      <c r="BF4" s="1343" t="s">
        <v>426</v>
      </c>
      <c r="BG4" s="1341" t="s">
        <v>423</v>
      </c>
      <c r="BH4" s="1342" t="s">
        <v>424</v>
      </c>
      <c r="BI4" s="1343" t="s">
        <v>426</v>
      </c>
      <c r="BJ4" s="1341" t="s">
        <v>423</v>
      </c>
      <c r="BK4" s="1342" t="s">
        <v>424</v>
      </c>
      <c r="BL4" s="1343" t="s">
        <v>426</v>
      </c>
      <c r="BM4" s="1341" t="s">
        <v>423</v>
      </c>
      <c r="BN4" s="1342" t="s">
        <v>424</v>
      </c>
      <c r="BO4" s="1343" t="s">
        <v>426</v>
      </c>
      <c r="BP4" s="1341" t="s">
        <v>423</v>
      </c>
      <c r="BQ4" s="1342" t="s">
        <v>424</v>
      </c>
      <c r="BR4" s="1343" t="s">
        <v>426</v>
      </c>
      <c r="BS4" s="1341" t="s">
        <v>423</v>
      </c>
      <c r="BT4" s="1342" t="s">
        <v>424</v>
      </c>
      <c r="BU4" s="1343" t="s">
        <v>426</v>
      </c>
      <c r="BV4" s="1341" t="s">
        <v>423</v>
      </c>
      <c r="BW4" s="1342" t="s">
        <v>424</v>
      </c>
      <c r="BX4" s="1343" t="s">
        <v>426</v>
      </c>
      <c r="BY4" s="1342" t="s">
        <v>423</v>
      </c>
      <c r="BZ4" s="1342" t="s">
        <v>424</v>
      </c>
      <c r="CA4" s="1343" t="s">
        <v>426</v>
      </c>
      <c r="CB4" s="1341" t="s">
        <v>423</v>
      </c>
      <c r="CC4" s="1342" t="s">
        <v>424</v>
      </c>
      <c r="CD4" s="1343" t="s">
        <v>426</v>
      </c>
      <c r="CE4" s="1341" t="s">
        <v>423</v>
      </c>
      <c r="CF4" s="1342" t="s">
        <v>424</v>
      </c>
      <c r="CG4" s="1343" t="s">
        <v>426</v>
      </c>
      <c r="CH4" s="1341" t="s">
        <v>423</v>
      </c>
      <c r="CI4" s="1342" t="s">
        <v>424</v>
      </c>
      <c r="CJ4" s="1343" t="s">
        <v>426</v>
      </c>
      <c r="CK4" s="1341" t="s">
        <v>423</v>
      </c>
      <c r="CL4" s="1342" t="s">
        <v>424</v>
      </c>
      <c r="CM4" s="1343" t="s">
        <v>426</v>
      </c>
      <c r="CN4" s="1341" t="s">
        <v>423</v>
      </c>
      <c r="CO4" s="1342" t="s">
        <v>424</v>
      </c>
      <c r="CP4" s="1343" t="s">
        <v>426</v>
      </c>
      <c r="CQ4" s="1341" t="s">
        <v>423</v>
      </c>
      <c r="CR4" s="1342" t="s">
        <v>424</v>
      </c>
      <c r="CS4" s="1343" t="s">
        <v>426</v>
      </c>
      <c r="CT4" s="1341" t="s">
        <v>423</v>
      </c>
      <c r="CU4" s="1342" t="s">
        <v>424</v>
      </c>
      <c r="CV4" s="1343" t="s">
        <v>426</v>
      </c>
      <c r="CW4" s="1341" t="s">
        <v>423</v>
      </c>
      <c r="CX4" s="1342" t="s">
        <v>424</v>
      </c>
      <c r="CY4" s="1343" t="s">
        <v>426</v>
      </c>
      <c r="CZ4" s="1341" t="s">
        <v>423</v>
      </c>
      <c r="DA4" s="1342" t="s">
        <v>424</v>
      </c>
      <c r="DB4" s="1343" t="s">
        <v>426</v>
      </c>
      <c r="DC4" s="1362" t="s">
        <v>423</v>
      </c>
      <c r="DD4" s="1363" t="s">
        <v>424</v>
      </c>
      <c r="DE4" s="1364" t="s">
        <v>426</v>
      </c>
      <c r="DF4" s="1342" t="s">
        <v>423</v>
      </c>
      <c r="DG4" s="1342" t="s">
        <v>424</v>
      </c>
      <c r="DH4" s="1343" t="s">
        <v>426</v>
      </c>
      <c r="DI4" s="1342" t="s">
        <v>423</v>
      </c>
      <c r="DJ4" s="1342" t="s">
        <v>424</v>
      </c>
      <c r="DK4" s="1343" t="s">
        <v>426</v>
      </c>
      <c r="DL4" s="1341" t="s">
        <v>423</v>
      </c>
      <c r="DM4" s="1342" t="s">
        <v>424</v>
      </c>
      <c r="DN4" s="1343" t="s">
        <v>426</v>
      </c>
      <c r="DO4" s="1342" t="s">
        <v>423</v>
      </c>
      <c r="DP4" s="1342" t="s">
        <v>424</v>
      </c>
      <c r="DQ4" s="1343" t="s">
        <v>426</v>
      </c>
      <c r="DR4" s="1342" t="s">
        <v>423</v>
      </c>
      <c r="DS4" s="1342" t="s">
        <v>424</v>
      </c>
      <c r="DT4" s="1343" t="s">
        <v>426</v>
      </c>
      <c r="DU4" s="1342" t="s">
        <v>423</v>
      </c>
      <c r="DV4" s="1342" t="s">
        <v>424</v>
      </c>
      <c r="DW4" s="1343" t="s">
        <v>426</v>
      </c>
      <c r="DX4" s="1348" t="s">
        <v>423</v>
      </c>
      <c r="DY4" s="1349" t="s">
        <v>424</v>
      </c>
      <c r="DZ4" s="1350" t="s">
        <v>426</v>
      </c>
      <c r="EA4" s="1348" t="s">
        <v>423</v>
      </c>
      <c r="EB4" s="1349" t="s">
        <v>424</v>
      </c>
      <c r="EC4" s="1350" t="s">
        <v>426</v>
      </c>
      <c r="ED4" s="1341" t="s">
        <v>423</v>
      </c>
      <c r="EE4" s="1342" t="s">
        <v>424</v>
      </c>
      <c r="EF4" s="1343" t="s">
        <v>426</v>
      </c>
      <c r="EG4" s="1342" t="s">
        <v>423</v>
      </c>
      <c r="EH4" s="1342" t="s">
        <v>424</v>
      </c>
      <c r="EI4" s="1343" t="s">
        <v>426</v>
      </c>
      <c r="EJ4" s="1341" t="s">
        <v>423</v>
      </c>
      <c r="EK4" s="1342" t="s">
        <v>424</v>
      </c>
      <c r="EL4" s="1343" t="s">
        <v>426</v>
      </c>
      <c r="EM4" s="1342" t="s">
        <v>423</v>
      </c>
      <c r="EN4" s="1342" t="s">
        <v>424</v>
      </c>
      <c r="EO4" s="1343" t="s">
        <v>426</v>
      </c>
      <c r="EP4" s="1346" t="s">
        <v>423</v>
      </c>
      <c r="EQ4" s="1347" t="s">
        <v>424</v>
      </c>
      <c r="ER4" s="1343" t="s">
        <v>426</v>
      </c>
      <c r="ES4" s="1342" t="s">
        <v>423</v>
      </c>
      <c r="ET4" s="1342" t="s">
        <v>424</v>
      </c>
      <c r="EU4" s="1343" t="s">
        <v>426</v>
      </c>
    </row>
    <row r="5" spans="1:154" s="1273" customFormat="1" ht="15" thickBot="1">
      <c r="A5" s="1747" t="s">
        <v>527</v>
      </c>
      <c r="B5" s="1758">
        <v>11760</v>
      </c>
      <c r="C5" s="1759">
        <v>12763</v>
      </c>
      <c r="D5" s="1351">
        <v>41.2</v>
      </c>
      <c r="E5" s="1758">
        <v>38751</v>
      </c>
      <c r="F5" s="1759">
        <v>42347</v>
      </c>
      <c r="G5" s="1351">
        <v>280.5</v>
      </c>
      <c r="H5" s="1352"/>
      <c r="I5" s="1353"/>
      <c r="J5" s="1354">
        <v>0.05</v>
      </c>
      <c r="K5" s="1751">
        <v>5763</v>
      </c>
      <c r="L5" s="1752">
        <v>4999</v>
      </c>
      <c r="M5" s="1354">
        <v>18.39</v>
      </c>
      <c r="N5" s="1360">
        <v>79</v>
      </c>
      <c r="O5" s="1751">
        <v>79</v>
      </c>
      <c r="P5" s="1354">
        <v>0.32</v>
      </c>
      <c r="Q5" s="1751">
        <v>3615</v>
      </c>
      <c r="R5" s="1752">
        <v>3532</v>
      </c>
      <c r="S5" s="1354">
        <v>22.43</v>
      </c>
      <c r="T5" s="1360">
        <v>14705</v>
      </c>
      <c r="U5" s="1751">
        <v>13563</v>
      </c>
      <c r="V5" s="1354">
        <v>54</v>
      </c>
      <c r="W5" s="1360">
        <v>44013</v>
      </c>
      <c r="X5" s="1752">
        <v>38394</v>
      </c>
      <c r="Y5" s="1354">
        <v>292</v>
      </c>
      <c r="Z5" s="1360">
        <v>16302</v>
      </c>
      <c r="AA5" s="1751">
        <v>16169</v>
      </c>
      <c r="AB5" s="1354">
        <v>20</v>
      </c>
      <c r="AC5" s="1360">
        <v>46418</v>
      </c>
      <c r="AD5" s="1752">
        <v>45984</v>
      </c>
      <c r="AE5" s="1354">
        <v>112</v>
      </c>
      <c r="AF5" s="1360">
        <v>6727</v>
      </c>
      <c r="AG5" s="1752">
        <v>6498</v>
      </c>
      <c r="AH5" s="1354">
        <v>29.42</v>
      </c>
      <c r="AI5" s="1751">
        <v>17107</v>
      </c>
      <c r="AJ5" s="1752">
        <v>16277</v>
      </c>
      <c r="AK5" s="1354">
        <v>145.91</v>
      </c>
      <c r="AL5" s="1249">
        <v>3268</v>
      </c>
      <c r="AM5" s="1250">
        <v>3247</v>
      </c>
      <c r="AN5" s="1356">
        <v>16.87</v>
      </c>
      <c r="AO5" s="1763">
        <v>6767</v>
      </c>
      <c r="AP5" s="1250">
        <v>6691</v>
      </c>
      <c r="AQ5" s="1356">
        <v>28.52</v>
      </c>
      <c r="AR5" s="1360">
        <v>2876</v>
      </c>
      <c r="AS5" s="1752">
        <v>2824</v>
      </c>
      <c r="AT5" s="1354">
        <v>5.54</v>
      </c>
      <c r="AU5" s="1360">
        <v>10955</v>
      </c>
      <c r="AV5" s="1752">
        <v>10384</v>
      </c>
      <c r="AW5" s="1354">
        <v>42.98</v>
      </c>
      <c r="AX5" s="1360">
        <v>8805</v>
      </c>
      <c r="AY5" s="1752">
        <v>8741</v>
      </c>
      <c r="AZ5" s="1354">
        <v>21.9</v>
      </c>
      <c r="BA5" s="1360">
        <v>29619</v>
      </c>
      <c r="BB5" s="1752">
        <v>29035</v>
      </c>
      <c r="BC5" s="1354">
        <v>120.93</v>
      </c>
      <c r="BD5" s="1360">
        <v>1882</v>
      </c>
      <c r="BE5" s="1752">
        <v>1819</v>
      </c>
      <c r="BF5" s="1354">
        <v>8.5</v>
      </c>
      <c r="BG5" s="1360">
        <v>7762</v>
      </c>
      <c r="BH5" s="1752">
        <v>7414</v>
      </c>
      <c r="BI5" s="1354">
        <v>48.53</v>
      </c>
      <c r="BJ5" s="1765">
        <v>39553</v>
      </c>
      <c r="BK5" s="1751">
        <v>40069</v>
      </c>
      <c r="BL5" s="1354">
        <v>191.98</v>
      </c>
      <c r="BM5" s="1360">
        <v>163765</v>
      </c>
      <c r="BN5" s="1752">
        <v>167064</v>
      </c>
      <c r="BO5" s="1354">
        <v>1765.58</v>
      </c>
      <c r="BP5" s="1360">
        <v>35420</v>
      </c>
      <c r="BQ5" s="1752">
        <v>34562</v>
      </c>
      <c r="BR5" s="1357">
        <v>137.6</v>
      </c>
      <c r="BS5" s="1360">
        <v>128091</v>
      </c>
      <c r="BT5" s="1752">
        <v>124713</v>
      </c>
      <c r="BU5" s="1357">
        <v>1394.8</v>
      </c>
      <c r="BV5" s="1360">
        <v>2907</v>
      </c>
      <c r="BW5" s="1752">
        <v>2738</v>
      </c>
      <c r="BX5" s="1354">
        <v>16.16</v>
      </c>
      <c r="BY5" s="1751">
        <v>8489</v>
      </c>
      <c r="BZ5" s="1752">
        <v>7952</v>
      </c>
      <c r="CA5" s="1354">
        <v>56.71</v>
      </c>
      <c r="CB5" s="1360">
        <v>7417</v>
      </c>
      <c r="CC5" s="1752">
        <v>7417</v>
      </c>
      <c r="CD5" s="1354">
        <v>21.22</v>
      </c>
      <c r="CE5" s="1360">
        <v>51060</v>
      </c>
      <c r="CF5" s="1752">
        <v>51060</v>
      </c>
      <c r="CG5" s="1357">
        <v>101.77</v>
      </c>
      <c r="CH5" s="1360">
        <v>15619</v>
      </c>
      <c r="CI5" s="1752">
        <v>15671</v>
      </c>
      <c r="CJ5" s="1354">
        <v>12.25</v>
      </c>
      <c r="CK5" s="1360">
        <v>38494</v>
      </c>
      <c r="CL5" s="1752">
        <v>35328</v>
      </c>
      <c r="CM5" s="1354">
        <v>287.91</v>
      </c>
      <c r="CN5" s="1360">
        <v>26007</v>
      </c>
      <c r="CO5" s="1752">
        <v>25241</v>
      </c>
      <c r="CP5" s="1354">
        <v>153.72</v>
      </c>
      <c r="CQ5" s="1360">
        <v>87206</v>
      </c>
      <c r="CR5" s="1752">
        <v>84463</v>
      </c>
      <c r="CS5" s="1354">
        <v>672.05</v>
      </c>
      <c r="CT5" s="1360">
        <v>11623</v>
      </c>
      <c r="CU5" s="1752">
        <v>11623</v>
      </c>
      <c r="CV5" s="1354">
        <v>60.36</v>
      </c>
      <c r="CW5" s="1360">
        <v>27881</v>
      </c>
      <c r="CX5" s="1752">
        <v>23548</v>
      </c>
      <c r="CY5" s="1354">
        <v>182.02</v>
      </c>
      <c r="CZ5" s="615">
        <v>11241</v>
      </c>
      <c r="DA5" s="1772">
        <v>10695</v>
      </c>
      <c r="DB5" s="1773">
        <v>37.37</v>
      </c>
      <c r="DC5" s="1774">
        <v>41539</v>
      </c>
      <c r="DD5" s="1775">
        <v>38961</v>
      </c>
      <c r="DE5" s="1365">
        <v>175.79</v>
      </c>
      <c r="DF5" s="1355"/>
      <c r="DG5" s="1353"/>
      <c r="DH5" s="1354"/>
      <c r="DI5" s="1355"/>
      <c r="DJ5" s="1353"/>
      <c r="DK5" s="1354"/>
      <c r="DL5" s="1766">
        <v>75149</v>
      </c>
      <c r="DM5" s="1767">
        <v>75149</v>
      </c>
      <c r="DN5" s="1750">
        <v>339</v>
      </c>
      <c r="DO5" s="1768">
        <v>219947</v>
      </c>
      <c r="DP5" s="1767">
        <v>219947</v>
      </c>
      <c r="DQ5" s="1750">
        <v>1534</v>
      </c>
      <c r="DR5" s="1770">
        <v>21408</v>
      </c>
      <c r="DS5" s="1770">
        <v>21221</v>
      </c>
      <c r="DT5" s="1602">
        <v>32.89</v>
      </c>
      <c r="DU5" s="1770">
        <v>25779</v>
      </c>
      <c r="DV5" s="1770">
        <v>25346</v>
      </c>
      <c r="DW5" s="1602">
        <v>53.91</v>
      </c>
      <c r="DX5" s="1756">
        <v>4618</v>
      </c>
      <c r="DY5" s="1757">
        <v>4618</v>
      </c>
      <c r="DZ5" s="1358">
        <v>28.65</v>
      </c>
      <c r="EA5" s="1754">
        <v>8342</v>
      </c>
      <c r="EB5" s="1755">
        <v>8342</v>
      </c>
      <c r="EC5" s="1359">
        <v>66.75</v>
      </c>
      <c r="ED5" s="1753">
        <v>24707</v>
      </c>
      <c r="EE5" s="1753">
        <v>22600</v>
      </c>
      <c r="EF5" s="1601">
        <v>52</v>
      </c>
      <c r="EG5" s="1753">
        <v>55350</v>
      </c>
      <c r="EH5" s="1753">
        <v>51883</v>
      </c>
      <c r="EI5" s="1601">
        <v>503.61</v>
      </c>
      <c r="EJ5" s="1360">
        <v>721321</v>
      </c>
      <c r="EK5" s="1752">
        <v>651187</v>
      </c>
      <c r="EL5" s="1354">
        <v>1028.81</v>
      </c>
      <c r="EM5" s="1751">
        <v>2691883</v>
      </c>
      <c r="EN5" s="1752">
        <v>252351</v>
      </c>
      <c r="EO5" s="1354">
        <v>8119.47</v>
      </c>
      <c r="EP5" s="1360">
        <f aca="true" t="shared" si="0" ref="EP5:EU6">SUM(B5+H5+N5+T5+Z5+AF5+AL5+AR5+AX5+BD5+BJ5+BP5+BV5+CB5+CH5+CN5+CT5+CZ5+DF5+DL5+DR5+DX5+ED5+EJ5)</f>
        <v>1063394</v>
      </c>
      <c r="EQ5" s="1360">
        <f t="shared" si="0"/>
        <v>988494</v>
      </c>
      <c r="ER5" s="1361">
        <f t="shared" si="0"/>
        <v>2309.8100000000004</v>
      </c>
      <c r="ES5" s="1360">
        <f t="shared" si="0"/>
        <v>3758596</v>
      </c>
      <c r="ET5" s="1360">
        <f t="shared" si="0"/>
        <v>1296015</v>
      </c>
      <c r="EU5" s="1361">
        <f t="shared" si="0"/>
        <v>16026.560000000001</v>
      </c>
      <c r="EX5" s="1467"/>
    </row>
    <row r="6" spans="1:151" ht="14.25">
      <c r="A6" s="1745" t="s">
        <v>528</v>
      </c>
      <c r="B6" s="1760">
        <v>24</v>
      </c>
      <c r="C6" s="15">
        <v>37671</v>
      </c>
      <c r="D6" s="1345">
        <v>0.41</v>
      </c>
      <c r="E6" s="1760">
        <v>155</v>
      </c>
      <c r="F6" s="15">
        <v>671484</v>
      </c>
      <c r="G6" s="1345">
        <v>187</v>
      </c>
      <c r="H6" s="2"/>
      <c r="I6" s="3"/>
      <c r="J6" s="4"/>
      <c r="K6" s="27">
        <v>37</v>
      </c>
      <c r="L6" s="24">
        <v>26665</v>
      </c>
      <c r="M6" s="1">
        <v>4.03</v>
      </c>
      <c r="N6" s="25"/>
      <c r="O6" s="27"/>
      <c r="P6" s="4"/>
      <c r="Q6" s="27">
        <v>9</v>
      </c>
      <c r="R6" s="24">
        <v>102481</v>
      </c>
      <c r="S6" s="4">
        <v>19.18</v>
      </c>
      <c r="T6" s="25"/>
      <c r="U6" s="27"/>
      <c r="V6" s="4"/>
      <c r="W6" s="25">
        <v>22</v>
      </c>
      <c r="X6" s="24">
        <v>7468504</v>
      </c>
      <c r="Y6" s="4">
        <v>668</v>
      </c>
      <c r="Z6" s="25"/>
      <c r="AA6" s="27"/>
      <c r="AB6" s="4"/>
      <c r="AC6" s="25">
        <v>2</v>
      </c>
      <c r="AD6" s="24">
        <v>23697</v>
      </c>
      <c r="AE6" s="4">
        <v>60</v>
      </c>
      <c r="AF6" s="25"/>
      <c r="AG6" s="804"/>
      <c r="AH6" s="528"/>
      <c r="AI6" s="27">
        <v>4</v>
      </c>
      <c r="AJ6" s="24">
        <v>2447223</v>
      </c>
      <c r="AK6" s="4">
        <v>250.87</v>
      </c>
      <c r="AL6" s="1761">
        <v>136</v>
      </c>
      <c r="AM6" s="1762">
        <v>2792672</v>
      </c>
      <c r="AN6" s="418">
        <v>47.96</v>
      </c>
      <c r="AO6" s="1764">
        <v>47</v>
      </c>
      <c r="AP6" s="1762">
        <v>197997</v>
      </c>
      <c r="AQ6" s="630">
        <v>54.67</v>
      </c>
      <c r="AR6" s="25"/>
      <c r="AS6" s="24"/>
      <c r="AT6" s="4"/>
      <c r="AU6" s="25">
        <v>14</v>
      </c>
      <c r="AV6" s="24">
        <v>18354</v>
      </c>
      <c r="AW6" s="4">
        <v>9.22</v>
      </c>
      <c r="AX6" s="25"/>
      <c r="AY6" s="24"/>
      <c r="AZ6" s="4"/>
      <c r="BA6" s="25">
        <v>6</v>
      </c>
      <c r="BB6" s="24">
        <v>385024</v>
      </c>
      <c r="BC6" s="4">
        <v>12.33</v>
      </c>
      <c r="BD6" s="25"/>
      <c r="BE6" s="24"/>
      <c r="BF6" s="4"/>
      <c r="BG6" s="25">
        <v>13</v>
      </c>
      <c r="BH6" s="24">
        <v>155044</v>
      </c>
      <c r="BI6" s="4">
        <v>92.78</v>
      </c>
      <c r="BJ6" s="613"/>
      <c r="BK6" s="27"/>
      <c r="BL6" s="787"/>
      <c r="BM6" s="25">
        <v>99</v>
      </c>
      <c r="BN6" s="24">
        <v>12752723</v>
      </c>
      <c r="BO6" s="4">
        <v>1988.9</v>
      </c>
      <c r="BP6" s="25"/>
      <c r="BQ6" s="24"/>
      <c r="BR6" s="4"/>
      <c r="BS6" s="25">
        <v>717</v>
      </c>
      <c r="BT6" s="24">
        <v>5905633</v>
      </c>
      <c r="BU6" s="4">
        <v>753.7</v>
      </c>
      <c r="BV6" s="78"/>
      <c r="BW6" s="30"/>
      <c r="BX6" s="6"/>
      <c r="BY6" s="29">
        <v>1</v>
      </c>
      <c r="BZ6" s="30">
        <v>28597</v>
      </c>
      <c r="CA6" s="1">
        <v>30.05</v>
      </c>
      <c r="CB6" s="25"/>
      <c r="CC6" s="24"/>
      <c r="CD6" s="4"/>
      <c r="CE6" s="25">
        <v>28</v>
      </c>
      <c r="CF6" s="24">
        <v>990537</v>
      </c>
      <c r="CG6" s="4">
        <v>304.36</v>
      </c>
      <c r="CH6" s="25"/>
      <c r="CI6" s="24"/>
      <c r="CJ6" s="4"/>
      <c r="CK6" s="25">
        <v>242</v>
      </c>
      <c r="CL6" s="24">
        <v>3944598</v>
      </c>
      <c r="CM6" s="4">
        <v>637.88</v>
      </c>
      <c r="CN6" s="25"/>
      <c r="CO6" s="24"/>
      <c r="CP6" s="4"/>
      <c r="CQ6" s="25">
        <v>322</v>
      </c>
      <c r="CR6" s="24">
        <v>1339440</v>
      </c>
      <c r="CS6" s="4">
        <v>85.03</v>
      </c>
      <c r="CT6" s="25"/>
      <c r="CU6" s="24">
        <v>7156</v>
      </c>
      <c r="CV6" s="4">
        <v>8.3</v>
      </c>
      <c r="CW6" s="25">
        <v>64</v>
      </c>
      <c r="CX6" s="24">
        <v>702197</v>
      </c>
      <c r="CY6" s="4">
        <v>74.39</v>
      </c>
      <c r="CZ6" s="25"/>
      <c r="DA6" s="24"/>
      <c r="DB6" s="4"/>
      <c r="DC6" s="25">
        <v>12</v>
      </c>
      <c r="DD6" s="24">
        <v>116285</v>
      </c>
      <c r="DE6" s="4">
        <v>13.88</v>
      </c>
      <c r="DF6" s="32"/>
      <c r="DG6" s="3"/>
      <c r="DH6" s="4"/>
      <c r="DI6" s="26"/>
      <c r="DJ6" s="3"/>
      <c r="DK6" s="4"/>
      <c r="DL6" s="25"/>
      <c r="DM6" s="27"/>
      <c r="DN6" s="4"/>
      <c r="DO6" s="1769">
        <v>210</v>
      </c>
      <c r="DP6" s="300">
        <v>1115843</v>
      </c>
      <c r="DQ6" s="522">
        <v>1282</v>
      </c>
      <c r="DR6" s="33">
        <v>2</v>
      </c>
      <c r="DS6" s="34">
        <v>144503</v>
      </c>
      <c r="DT6" s="407">
        <v>4.95</v>
      </c>
      <c r="DU6" s="33">
        <v>6</v>
      </c>
      <c r="DV6" s="34">
        <v>519956</v>
      </c>
      <c r="DW6" s="407">
        <v>46.91</v>
      </c>
      <c r="DX6" s="306"/>
      <c r="DY6" s="37"/>
      <c r="DZ6" s="409"/>
      <c r="EA6" s="36">
        <v>6</v>
      </c>
      <c r="EB6" s="37">
        <v>404718</v>
      </c>
      <c r="EC6" s="409">
        <v>21.09</v>
      </c>
      <c r="ED6" s="27"/>
      <c r="EE6" s="24"/>
      <c r="EF6" s="4"/>
      <c r="EG6" s="27">
        <v>54</v>
      </c>
      <c r="EH6" s="24">
        <v>138347</v>
      </c>
      <c r="EI6" s="1">
        <v>22.34</v>
      </c>
      <c r="EJ6" s="306"/>
      <c r="EK6" s="37"/>
      <c r="EL6" s="409"/>
      <c r="EM6" s="36">
        <v>4840</v>
      </c>
      <c r="EN6" s="37">
        <v>4758677</v>
      </c>
      <c r="EO6" s="409">
        <v>35646.51</v>
      </c>
      <c r="EP6" s="1360">
        <f t="shared" si="0"/>
        <v>162</v>
      </c>
      <c r="EQ6" s="1360">
        <f>SUM(C6+I6+O6+U6+AA6+AG6+AM6+AS6+AY6+BE6+BK6+BQ6+BW6+CC6+CI6+CO6+CU6+DA6+DG6+DM6+DS6+DY6+EE6+EK6)</f>
        <v>2982002</v>
      </c>
      <c r="ER6" s="1360">
        <f>SUM(D6+J6+P6+V6+AB6+AH6+AN6+AT6+AZ6+BF6+BL6+BR6+BX6+CD6+CJ6+CP6+CV6+DB6+DH6+DN6+DT6+DZ6+EF6+EL6)</f>
        <v>61.620000000000005</v>
      </c>
      <c r="ES6" s="1360">
        <f>SUM(E6+K6+Q6+W6+AC6+AI6+AO6+AU6+BA6+BG6+BM6+BS6+BY6+CE6+CK6+CQ6+CW6+DC6+DI6+DO6+DU6+EA6+EG6+EM6)</f>
        <v>6910</v>
      </c>
      <c r="ET6" s="1360">
        <f>SUM(F6+L6+R6+X6+AD6+AJ6+AP6+AV6+BB6+BH6+BN6+BT6+BZ6+CF6+CL6+CR6+CX6+DD6+DJ6+DP6+DV6+EB6+EH6+EN6)</f>
        <v>44214024</v>
      </c>
      <c r="EU6" s="1771">
        <f>SUM(G6+M6+S6+Y6+AE6+AK6+AQ6+AW6+BC6+BI6+BO6+BU6+CA6+CG6+CM6+CS6+CY6+DE6+DK6+DQ6+DW6+EC6+EI6+EO6)</f>
        <v>42265.12</v>
      </c>
    </row>
    <row r="7" spans="1:151" s="126" customFormat="1" ht="13.5">
      <c r="A7" s="1776" t="s">
        <v>54</v>
      </c>
      <c r="B7" s="18">
        <f>B5+B6</f>
        <v>11784</v>
      </c>
      <c r="C7" s="17">
        <f aca="true" t="shared" si="1" ref="C7:BN7">C5+C6</f>
        <v>50434</v>
      </c>
      <c r="D7" s="113">
        <f t="shared" si="1"/>
        <v>41.61</v>
      </c>
      <c r="E7" s="17">
        <f t="shared" si="1"/>
        <v>38906</v>
      </c>
      <c r="F7" s="17">
        <f t="shared" si="1"/>
        <v>713831</v>
      </c>
      <c r="G7" s="113">
        <f t="shared" si="1"/>
        <v>467.5</v>
      </c>
      <c r="H7" s="113">
        <f t="shared" si="1"/>
        <v>0</v>
      </c>
      <c r="I7" s="113">
        <f t="shared" si="1"/>
        <v>0</v>
      </c>
      <c r="J7" s="113">
        <f t="shared" si="1"/>
        <v>0.05</v>
      </c>
      <c r="K7" s="17">
        <f t="shared" si="1"/>
        <v>5800</v>
      </c>
      <c r="L7" s="17">
        <f t="shared" si="1"/>
        <v>31664</v>
      </c>
      <c r="M7" s="113">
        <f t="shared" si="1"/>
        <v>22.42</v>
      </c>
      <c r="N7" s="17">
        <f t="shared" si="1"/>
        <v>79</v>
      </c>
      <c r="O7" s="17">
        <f t="shared" si="1"/>
        <v>79</v>
      </c>
      <c r="P7" s="113">
        <f t="shared" si="1"/>
        <v>0.32</v>
      </c>
      <c r="Q7" s="17">
        <f t="shared" si="1"/>
        <v>3624</v>
      </c>
      <c r="R7" s="17">
        <f t="shared" si="1"/>
        <v>106013</v>
      </c>
      <c r="S7" s="113">
        <f t="shared" si="1"/>
        <v>41.61</v>
      </c>
      <c r="T7" s="17">
        <f t="shared" si="1"/>
        <v>14705</v>
      </c>
      <c r="U7" s="17">
        <f t="shared" si="1"/>
        <v>13563</v>
      </c>
      <c r="V7" s="113">
        <f t="shared" si="1"/>
        <v>54</v>
      </c>
      <c r="W7" s="17">
        <f t="shared" si="1"/>
        <v>44035</v>
      </c>
      <c r="X7" s="17">
        <f t="shared" si="1"/>
        <v>7506898</v>
      </c>
      <c r="Y7" s="113">
        <f t="shared" si="1"/>
        <v>960</v>
      </c>
      <c r="Z7" s="17">
        <f t="shared" si="1"/>
        <v>16302</v>
      </c>
      <c r="AA7" s="17">
        <f t="shared" si="1"/>
        <v>16169</v>
      </c>
      <c r="AB7" s="113">
        <f t="shared" si="1"/>
        <v>20</v>
      </c>
      <c r="AC7" s="17">
        <f t="shared" si="1"/>
        <v>46420</v>
      </c>
      <c r="AD7" s="17">
        <f t="shared" si="1"/>
        <v>69681</v>
      </c>
      <c r="AE7" s="113">
        <f t="shared" si="1"/>
        <v>172</v>
      </c>
      <c r="AF7" s="17">
        <f t="shared" si="1"/>
        <v>6727</v>
      </c>
      <c r="AG7" s="17">
        <f t="shared" si="1"/>
        <v>6498</v>
      </c>
      <c r="AH7" s="113">
        <f t="shared" si="1"/>
        <v>29.42</v>
      </c>
      <c r="AI7" s="17">
        <f t="shared" si="1"/>
        <v>17111</v>
      </c>
      <c r="AJ7" s="17">
        <f t="shared" si="1"/>
        <v>2463500</v>
      </c>
      <c r="AK7" s="113">
        <f t="shared" si="1"/>
        <v>396.78</v>
      </c>
      <c r="AL7" s="17">
        <f t="shared" si="1"/>
        <v>3404</v>
      </c>
      <c r="AM7" s="17">
        <f t="shared" si="1"/>
        <v>2795919</v>
      </c>
      <c r="AN7" s="113">
        <f t="shared" si="1"/>
        <v>64.83</v>
      </c>
      <c r="AO7" s="17">
        <f t="shared" si="1"/>
        <v>6814</v>
      </c>
      <c r="AP7" s="17">
        <f t="shared" si="1"/>
        <v>204688</v>
      </c>
      <c r="AQ7" s="113">
        <f t="shared" si="1"/>
        <v>83.19</v>
      </c>
      <c r="AR7" s="17">
        <f t="shared" si="1"/>
        <v>2876</v>
      </c>
      <c r="AS7" s="17">
        <f t="shared" si="1"/>
        <v>2824</v>
      </c>
      <c r="AT7" s="113">
        <f t="shared" si="1"/>
        <v>5.54</v>
      </c>
      <c r="AU7" s="17">
        <f t="shared" si="1"/>
        <v>10969</v>
      </c>
      <c r="AV7" s="17">
        <f t="shared" si="1"/>
        <v>28738</v>
      </c>
      <c r="AW7" s="113">
        <f t="shared" si="1"/>
        <v>52.199999999999996</v>
      </c>
      <c r="AX7" s="17">
        <f t="shared" si="1"/>
        <v>8805</v>
      </c>
      <c r="AY7" s="17">
        <f t="shared" si="1"/>
        <v>8741</v>
      </c>
      <c r="AZ7" s="113">
        <f t="shared" si="1"/>
        <v>21.9</v>
      </c>
      <c r="BA7" s="17">
        <f t="shared" si="1"/>
        <v>29625</v>
      </c>
      <c r="BB7" s="17">
        <f t="shared" si="1"/>
        <v>414059</v>
      </c>
      <c r="BC7" s="113">
        <f t="shared" si="1"/>
        <v>133.26000000000002</v>
      </c>
      <c r="BD7" s="17">
        <f t="shared" si="1"/>
        <v>1882</v>
      </c>
      <c r="BE7" s="17">
        <f t="shared" si="1"/>
        <v>1819</v>
      </c>
      <c r="BF7" s="113">
        <f t="shared" si="1"/>
        <v>8.5</v>
      </c>
      <c r="BG7" s="17">
        <f t="shared" si="1"/>
        <v>7775</v>
      </c>
      <c r="BH7" s="17">
        <f t="shared" si="1"/>
        <v>162458</v>
      </c>
      <c r="BI7" s="113">
        <f t="shared" si="1"/>
        <v>141.31</v>
      </c>
      <c r="BJ7" s="17">
        <f t="shared" si="1"/>
        <v>39553</v>
      </c>
      <c r="BK7" s="17">
        <f t="shared" si="1"/>
        <v>40069</v>
      </c>
      <c r="BL7" s="113">
        <f t="shared" si="1"/>
        <v>191.98</v>
      </c>
      <c r="BM7" s="17">
        <f t="shared" si="1"/>
        <v>163864</v>
      </c>
      <c r="BN7" s="17">
        <f t="shared" si="1"/>
        <v>12919787</v>
      </c>
      <c r="BO7" s="113">
        <f aca="true" t="shared" si="2" ref="BO7:DZ7">BO5+BO6</f>
        <v>3754.48</v>
      </c>
      <c r="BP7" s="17">
        <f t="shared" si="2"/>
        <v>35420</v>
      </c>
      <c r="BQ7" s="17">
        <f t="shared" si="2"/>
        <v>34562</v>
      </c>
      <c r="BR7" s="113">
        <f t="shared" si="2"/>
        <v>137.6</v>
      </c>
      <c r="BS7" s="17">
        <f t="shared" si="2"/>
        <v>128808</v>
      </c>
      <c r="BT7" s="17">
        <f t="shared" si="2"/>
        <v>6030346</v>
      </c>
      <c r="BU7" s="113">
        <f t="shared" si="2"/>
        <v>2148.5</v>
      </c>
      <c r="BV7" s="17">
        <f t="shared" si="2"/>
        <v>2907</v>
      </c>
      <c r="BW7" s="17">
        <f t="shared" si="2"/>
        <v>2738</v>
      </c>
      <c r="BX7" s="113">
        <f t="shared" si="2"/>
        <v>16.16</v>
      </c>
      <c r="BY7" s="17">
        <f t="shared" si="2"/>
        <v>8490</v>
      </c>
      <c r="BZ7" s="17">
        <f t="shared" si="2"/>
        <v>36549</v>
      </c>
      <c r="CA7" s="113">
        <f t="shared" si="2"/>
        <v>86.76</v>
      </c>
      <c r="CB7" s="17">
        <f t="shared" si="2"/>
        <v>7417</v>
      </c>
      <c r="CC7" s="17">
        <f t="shared" si="2"/>
        <v>7417</v>
      </c>
      <c r="CD7" s="113">
        <f t="shared" si="2"/>
        <v>21.22</v>
      </c>
      <c r="CE7" s="17">
        <f t="shared" si="2"/>
        <v>51088</v>
      </c>
      <c r="CF7" s="17">
        <f t="shared" si="2"/>
        <v>1041597</v>
      </c>
      <c r="CG7" s="113">
        <f t="shared" si="2"/>
        <v>406.13</v>
      </c>
      <c r="CH7" s="17">
        <f t="shared" si="2"/>
        <v>15619</v>
      </c>
      <c r="CI7" s="17">
        <f t="shared" si="2"/>
        <v>15671</v>
      </c>
      <c r="CJ7" s="113">
        <f t="shared" si="2"/>
        <v>12.25</v>
      </c>
      <c r="CK7" s="17">
        <f t="shared" si="2"/>
        <v>38736</v>
      </c>
      <c r="CL7" s="17">
        <f t="shared" si="2"/>
        <v>3979926</v>
      </c>
      <c r="CM7" s="113">
        <f t="shared" si="2"/>
        <v>925.79</v>
      </c>
      <c r="CN7" s="17">
        <f t="shared" si="2"/>
        <v>26007</v>
      </c>
      <c r="CO7" s="17">
        <f t="shared" si="2"/>
        <v>25241</v>
      </c>
      <c r="CP7" s="113">
        <f t="shared" si="2"/>
        <v>153.72</v>
      </c>
      <c r="CQ7" s="17">
        <f t="shared" si="2"/>
        <v>87528</v>
      </c>
      <c r="CR7" s="17">
        <f t="shared" si="2"/>
        <v>1423903</v>
      </c>
      <c r="CS7" s="113">
        <f t="shared" si="2"/>
        <v>757.0799999999999</v>
      </c>
      <c r="CT7" s="17">
        <f t="shared" si="2"/>
        <v>11623</v>
      </c>
      <c r="CU7" s="17">
        <f t="shared" si="2"/>
        <v>18779</v>
      </c>
      <c r="CV7" s="113">
        <f t="shared" si="2"/>
        <v>68.66</v>
      </c>
      <c r="CW7" s="17">
        <f t="shared" si="2"/>
        <v>27945</v>
      </c>
      <c r="CX7" s="17">
        <f t="shared" si="2"/>
        <v>725745</v>
      </c>
      <c r="CY7" s="113">
        <f t="shared" si="2"/>
        <v>256.41</v>
      </c>
      <c r="CZ7" s="17">
        <f t="shared" si="2"/>
        <v>11241</v>
      </c>
      <c r="DA7" s="17">
        <f t="shared" si="2"/>
        <v>10695</v>
      </c>
      <c r="DB7" s="113">
        <f t="shared" si="2"/>
        <v>37.37</v>
      </c>
      <c r="DC7" s="17">
        <f t="shared" si="2"/>
        <v>41551</v>
      </c>
      <c r="DD7" s="17">
        <f t="shared" si="2"/>
        <v>155246</v>
      </c>
      <c r="DE7" s="113">
        <f t="shared" si="2"/>
        <v>189.67</v>
      </c>
      <c r="DF7" s="113">
        <f t="shared" si="2"/>
        <v>0</v>
      </c>
      <c r="DG7" s="113">
        <f t="shared" si="2"/>
        <v>0</v>
      </c>
      <c r="DH7" s="113">
        <f t="shared" si="2"/>
        <v>0</v>
      </c>
      <c r="DI7" s="113">
        <f t="shared" si="2"/>
        <v>0</v>
      </c>
      <c r="DJ7" s="113">
        <f t="shared" si="2"/>
        <v>0</v>
      </c>
      <c r="DK7" s="113">
        <f t="shared" si="2"/>
        <v>0</v>
      </c>
      <c r="DL7" s="17">
        <f t="shared" si="2"/>
        <v>75149</v>
      </c>
      <c r="DM7" s="17">
        <f t="shared" si="2"/>
        <v>75149</v>
      </c>
      <c r="DN7" s="113">
        <f t="shared" si="2"/>
        <v>339</v>
      </c>
      <c r="DO7" s="17">
        <f t="shared" si="2"/>
        <v>220157</v>
      </c>
      <c r="DP7" s="17">
        <f t="shared" si="2"/>
        <v>1335790</v>
      </c>
      <c r="DQ7" s="113">
        <f t="shared" si="2"/>
        <v>2816</v>
      </c>
      <c r="DR7" s="17">
        <f t="shared" si="2"/>
        <v>21410</v>
      </c>
      <c r="DS7" s="17">
        <f t="shared" si="2"/>
        <v>165724</v>
      </c>
      <c r="DT7" s="113">
        <f t="shared" si="2"/>
        <v>37.84</v>
      </c>
      <c r="DU7" s="17">
        <f t="shared" si="2"/>
        <v>25785</v>
      </c>
      <c r="DV7" s="17">
        <f t="shared" si="2"/>
        <v>545302</v>
      </c>
      <c r="DW7" s="113">
        <f t="shared" si="2"/>
        <v>100.82</v>
      </c>
      <c r="DX7" s="17">
        <f t="shared" si="2"/>
        <v>4618</v>
      </c>
      <c r="DY7" s="17">
        <f t="shared" si="2"/>
        <v>4618</v>
      </c>
      <c r="DZ7" s="113">
        <f t="shared" si="2"/>
        <v>28.65</v>
      </c>
      <c r="EA7" s="17">
        <f aca="true" t="shared" si="3" ref="EA7:EU7">EA5+EA6</f>
        <v>8348</v>
      </c>
      <c r="EB7" s="17">
        <f t="shared" si="3"/>
        <v>413060</v>
      </c>
      <c r="EC7" s="113">
        <f t="shared" si="3"/>
        <v>87.84</v>
      </c>
      <c r="ED7" s="17">
        <f t="shared" si="3"/>
        <v>24707</v>
      </c>
      <c r="EE7" s="17">
        <f t="shared" si="3"/>
        <v>22600</v>
      </c>
      <c r="EF7" s="113">
        <f t="shared" si="3"/>
        <v>52</v>
      </c>
      <c r="EG7" s="17">
        <f t="shared" si="3"/>
        <v>55404</v>
      </c>
      <c r="EH7" s="17">
        <f t="shared" si="3"/>
        <v>190230</v>
      </c>
      <c r="EI7" s="113">
        <f t="shared" si="3"/>
        <v>525.95</v>
      </c>
      <c r="EJ7" s="17">
        <f t="shared" si="3"/>
        <v>721321</v>
      </c>
      <c r="EK7" s="17">
        <f t="shared" si="3"/>
        <v>651187</v>
      </c>
      <c r="EL7" s="113">
        <f t="shared" si="3"/>
        <v>1028.81</v>
      </c>
      <c r="EM7" s="17">
        <f t="shared" si="3"/>
        <v>2696723</v>
      </c>
      <c r="EN7" s="17">
        <f t="shared" si="3"/>
        <v>5011028</v>
      </c>
      <c r="EO7" s="113">
        <f t="shared" si="3"/>
        <v>43765.98</v>
      </c>
      <c r="EP7" s="17">
        <f t="shared" si="3"/>
        <v>1063556</v>
      </c>
      <c r="EQ7" s="17">
        <f t="shared" si="3"/>
        <v>3970496</v>
      </c>
      <c r="ER7" s="113">
        <f t="shared" si="3"/>
        <v>2371.4300000000003</v>
      </c>
      <c r="ES7" s="17">
        <f t="shared" si="3"/>
        <v>3765506</v>
      </c>
      <c r="ET7" s="17">
        <f t="shared" si="3"/>
        <v>45510039</v>
      </c>
      <c r="EU7" s="1777">
        <f t="shared" si="3"/>
        <v>58291.68000000001</v>
      </c>
    </row>
  </sheetData>
  <sheetProtection/>
  <mergeCells count="75">
    <mergeCell ref="AL2:AQ2"/>
    <mergeCell ref="AR2:AW2"/>
    <mergeCell ref="AX2:BC2"/>
    <mergeCell ref="B2:G2"/>
    <mergeCell ref="H2:M2"/>
    <mergeCell ref="N2:S2"/>
    <mergeCell ref="T2:Y2"/>
    <mergeCell ref="Z2:AE2"/>
    <mergeCell ref="AF2:AK2"/>
    <mergeCell ref="BD2:BI2"/>
    <mergeCell ref="BK2:BO2"/>
    <mergeCell ref="BP2:BU2"/>
    <mergeCell ref="BV2:CA2"/>
    <mergeCell ref="CB2:CG2"/>
    <mergeCell ref="CH2:CM2"/>
    <mergeCell ref="CN2:CS2"/>
    <mergeCell ref="CT2:CY2"/>
    <mergeCell ref="CZ2:DE2"/>
    <mergeCell ref="DF2:DK2"/>
    <mergeCell ref="DL2:DQ2"/>
    <mergeCell ref="DR2:DW2"/>
    <mergeCell ref="DX2:EC2"/>
    <mergeCell ref="ED2:EI2"/>
    <mergeCell ref="EJ2:EO2"/>
    <mergeCell ref="B3:D3"/>
    <mergeCell ref="E3:G3"/>
    <mergeCell ref="H3:J3"/>
    <mergeCell ref="K3:M3"/>
    <mergeCell ref="AF3:AH3"/>
    <mergeCell ref="N3:P3"/>
    <mergeCell ref="Q3:S3"/>
    <mergeCell ref="T3:V3"/>
    <mergeCell ref="W3:Y3"/>
    <mergeCell ref="Z3:AB3"/>
    <mergeCell ref="AC3:AE3"/>
    <mergeCell ref="AI3:AK3"/>
    <mergeCell ref="AL3:AN3"/>
    <mergeCell ref="AO3:AQ3"/>
    <mergeCell ref="AR3:AT3"/>
    <mergeCell ref="EG3:EI3"/>
    <mergeCell ref="EJ3:EL3"/>
    <mergeCell ref="AU3:AW3"/>
    <mergeCell ref="AX3:AZ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CB3:CD3"/>
    <mergeCell ref="CE3:CG3"/>
    <mergeCell ref="CH3:CJ3"/>
    <mergeCell ref="CK3:CM3"/>
    <mergeCell ref="CN3:CP3"/>
    <mergeCell ref="CQ3:CS3"/>
    <mergeCell ref="CT3:CV3"/>
    <mergeCell ref="CW3:CY3"/>
    <mergeCell ref="CZ3:DB3"/>
    <mergeCell ref="DC3:DE3"/>
    <mergeCell ref="DF3:DH3"/>
    <mergeCell ref="DI3:DK3"/>
    <mergeCell ref="DL3:DN3"/>
    <mergeCell ref="EM3:EO3"/>
    <mergeCell ref="EP2:EU2"/>
    <mergeCell ref="EP3:ER3"/>
    <mergeCell ref="ES3:EU3"/>
    <mergeCell ref="DO3:DQ3"/>
    <mergeCell ref="DR3:DT3"/>
    <mergeCell ref="DU3:DW3"/>
    <mergeCell ref="DX3:DZ3"/>
    <mergeCell ref="EA3:EC3"/>
    <mergeCell ref="ED3:EF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6"/>
  <sheetViews>
    <sheetView zoomScalePageLayoutView="0" workbookViewId="0" topLeftCell="A1">
      <pane xSplit="1" topLeftCell="AR1" activePane="topRight" state="frozen"/>
      <selection pane="topLeft" activeCell="A1" sqref="A1"/>
      <selection pane="topRight" activeCell="B3" sqref="B3:BA4"/>
    </sheetView>
  </sheetViews>
  <sheetFormatPr defaultColWidth="9.140625" defaultRowHeight="15"/>
  <cols>
    <col min="1" max="1" width="33.140625" style="14" bestFit="1" customWidth="1"/>
    <col min="2" max="2" width="11.421875" style="14" bestFit="1" customWidth="1"/>
    <col min="3" max="3" width="11.421875" style="14" customWidth="1"/>
    <col min="4" max="4" width="9.140625" style="14" bestFit="1" customWidth="1"/>
    <col min="5" max="5" width="9.140625" style="14" customWidth="1"/>
    <col min="6" max="6" width="11.00390625" style="14" bestFit="1" customWidth="1"/>
    <col min="7" max="7" width="11.00390625" style="14" customWidth="1"/>
    <col min="8" max="8" width="11.00390625" style="14" bestFit="1" customWidth="1"/>
    <col min="9" max="9" width="11.00390625" style="14" customWidth="1"/>
    <col min="10" max="10" width="9.140625" style="14" bestFit="1" customWidth="1"/>
    <col min="11" max="11" width="9.140625" style="14" customWidth="1"/>
    <col min="12" max="12" width="9.140625" style="14" bestFit="1" customWidth="1"/>
    <col min="13" max="13" width="9.140625" style="14" customWidth="1"/>
    <col min="14" max="14" width="9.140625" style="14" bestFit="1" customWidth="1"/>
    <col min="15" max="15" width="9.140625" style="14" customWidth="1"/>
    <col min="16" max="17" width="11.00390625" style="14" customWidth="1"/>
    <col min="18" max="18" width="9.140625" style="14" bestFit="1" customWidth="1"/>
    <col min="19" max="19" width="9.140625" style="14" customWidth="1"/>
    <col min="20" max="20" width="9.28125" style="14" bestFit="1" customWidth="1"/>
    <col min="21" max="21" width="9.28125" style="14" customWidth="1"/>
    <col min="22" max="22" width="10.00390625" style="14" bestFit="1" customWidth="1"/>
    <col min="23" max="23" width="10.00390625" style="14" customWidth="1"/>
    <col min="24" max="24" width="11.421875" style="14" bestFit="1" customWidth="1"/>
    <col min="25" max="25" width="11.421875" style="14" customWidth="1"/>
    <col min="26" max="26" width="9.140625" style="14" bestFit="1" customWidth="1"/>
    <col min="27" max="27" width="9.140625" style="14" customWidth="1"/>
    <col min="28" max="28" width="9.28125" style="14" bestFit="1" customWidth="1"/>
    <col min="29" max="29" width="9.28125" style="14" customWidth="1"/>
    <col min="30" max="30" width="11.421875" style="14" bestFit="1" customWidth="1"/>
    <col min="31" max="31" width="11.421875" style="14" customWidth="1"/>
    <col min="32" max="32" width="10.00390625" style="14" bestFit="1" customWidth="1"/>
    <col min="33" max="33" width="10.00390625" style="14" customWidth="1"/>
    <col min="34" max="34" width="9.140625" style="14" bestFit="1" customWidth="1"/>
    <col min="35" max="35" width="9.140625" style="14" customWidth="1"/>
    <col min="36" max="36" width="9.140625" style="14" bestFit="1" customWidth="1"/>
    <col min="37" max="39" width="9.140625" style="14" customWidth="1"/>
    <col min="40" max="41" width="11.421875" style="14" customWidth="1"/>
    <col min="42" max="42" width="9.140625" style="14" bestFit="1" customWidth="1"/>
    <col min="43" max="43" width="9.140625" style="14" customWidth="1"/>
    <col min="44" max="44" width="9.140625" style="14" bestFit="1" customWidth="1"/>
    <col min="45" max="45" width="9.140625" style="14" customWidth="1"/>
    <col min="46" max="46" width="9.28125" style="14" bestFit="1" customWidth="1"/>
    <col min="47" max="47" width="9.28125" style="14" customWidth="1"/>
    <col min="48" max="48" width="11.00390625" style="14" bestFit="1" customWidth="1"/>
    <col min="49" max="49" width="11.00390625" style="14" customWidth="1"/>
    <col min="50" max="51" width="11.421875" style="14" customWidth="1"/>
    <col min="52" max="52" width="11.421875" style="14" bestFit="1" customWidth="1"/>
    <col min="53" max="53" width="11.421875" style="14" customWidth="1"/>
    <col min="54" max="16384" width="9.140625" style="14" customWidth="1"/>
  </cols>
  <sheetData>
    <row r="1" spans="1:53" ht="14.25">
      <c r="A1" s="2042" t="s">
        <v>111</v>
      </c>
      <c r="B1" s="2042"/>
      <c r="C1" s="2042"/>
      <c r="D1" s="2042"/>
      <c r="E1" s="2042"/>
      <c r="F1" s="2042"/>
      <c r="G1" s="2042"/>
      <c r="H1" s="2042"/>
      <c r="I1" s="2042"/>
      <c r="J1" s="2042"/>
      <c r="K1" s="2042"/>
      <c r="L1" s="2042"/>
      <c r="M1" s="2042"/>
      <c r="N1" s="2042"/>
      <c r="O1" s="2042"/>
      <c r="P1" s="2042"/>
      <c r="Q1" s="2042"/>
      <c r="R1" s="2042"/>
      <c r="S1" s="2042"/>
      <c r="T1" s="2042"/>
      <c r="U1" s="2042"/>
      <c r="V1" s="2042"/>
      <c r="W1" s="2042"/>
      <c r="X1" s="2042"/>
      <c r="Y1" s="2042"/>
      <c r="Z1" s="2042"/>
      <c r="AA1" s="2042"/>
      <c r="AB1" s="2042"/>
      <c r="AC1" s="2042"/>
      <c r="AD1" s="2042"/>
      <c r="AE1" s="2042"/>
      <c r="AF1" s="2042"/>
      <c r="AG1" s="2042"/>
      <c r="AH1" s="2042"/>
      <c r="AI1" s="2042"/>
      <c r="AJ1" s="2042"/>
      <c r="AK1" s="2042"/>
      <c r="AL1" s="2042"/>
      <c r="AM1" s="2042"/>
      <c r="AN1" s="2042"/>
      <c r="AO1" s="2042"/>
      <c r="AP1" s="2042"/>
      <c r="AQ1" s="2042"/>
      <c r="AR1" s="2042"/>
      <c r="AS1" s="2042"/>
      <c r="AT1" s="2042"/>
      <c r="AU1" s="2042"/>
      <c r="AV1" s="2042"/>
      <c r="AW1" s="2042"/>
      <c r="AX1" s="2042"/>
      <c r="AY1" s="2042"/>
      <c r="AZ1" s="2042"/>
      <c r="BA1" s="1396"/>
    </row>
    <row r="2" spans="1:53" ht="15" thickBot="1">
      <c r="A2" s="2043" t="s">
        <v>447</v>
      </c>
      <c r="B2" s="2043"/>
      <c r="C2" s="2043"/>
      <c r="D2" s="2043"/>
      <c r="E2" s="2043"/>
      <c r="F2" s="2043"/>
      <c r="G2" s="2043"/>
      <c r="H2" s="2043"/>
      <c r="I2" s="2043"/>
      <c r="J2" s="2043"/>
      <c r="K2" s="2043"/>
      <c r="L2" s="2043"/>
      <c r="M2" s="2043"/>
      <c r="N2" s="2043"/>
      <c r="O2" s="2043"/>
      <c r="P2" s="2043"/>
      <c r="Q2" s="2043"/>
      <c r="R2" s="2043"/>
      <c r="S2" s="2043"/>
      <c r="T2" s="2043"/>
      <c r="U2" s="2043"/>
      <c r="V2" s="2043"/>
      <c r="W2" s="2043"/>
      <c r="X2" s="2043"/>
      <c r="Y2" s="2043"/>
      <c r="Z2" s="2043"/>
      <c r="AA2" s="2043"/>
      <c r="AB2" s="2043"/>
      <c r="AC2" s="2043"/>
      <c r="AD2" s="2043"/>
      <c r="AE2" s="2043"/>
      <c r="AF2" s="2043"/>
      <c r="AG2" s="2043"/>
      <c r="AH2" s="2043"/>
      <c r="AI2" s="2043"/>
      <c r="AJ2" s="2043"/>
      <c r="AK2" s="2043"/>
      <c r="AL2" s="2043"/>
      <c r="AM2" s="2043"/>
      <c r="AN2" s="2043"/>
      <c r="AO2" s="2043"/>
      <c r="AP2" s="2043"/>
      <c r="AQ2" s="2043"/>
      <c r="AR2" s="2043"/>
      <c r="AS2" s="2043"/>
      <c r="AT2" s="2043"/>
      <c r="AU2" s="2043"/>
      <c r="AV2" s="2043"/>
      <c r="AW2" s="2043"/>
      <c r="AX2" s="2043"/>
      <c r="AY2" s="2043"/>
      <c r="AZ2" s="2043"/>
      <c r="BA2" s="1397"/>
    </row>
    <row r="3" spans="1:53" ht="53.25" customHeight="1" thickBot="1">
      <c r="A3" s="1398" t="s">
        <v>112</v>
      </c>
      <c r="B3" s="2044" t="s">
        <v>187</v>
      </c>
      <c r="C3" s="2045"/>
      <c r="D3" s="2046" t="s">
        <v>465</v>
      </c>
      <c r="E3" s="2047"/>
      <c r="F3" s="2046" t="s">
        <v>189</v>
      </c>
      <c r="G3" s="2047"/>
      <c r="H3" s="2046" t="s">
        <v>190</v>
      </c>
      <c r="I3" s="2047"/>
      <c r="J3" s="2046" t="s">
        <v>459</v>
      </c>
      <c r="K3" s="2047"/>
      <c r="L3" s="2046" t="s">
        <v>192</v>
      </c>
      <c r="M3" s="2047"/>
      <c r="N3" s="2046" t="s">
        <v>193</v>
      </c>
      <c r="O3" s="2047"/>
      <c r="P3" s="2046" t="s">
        <v>259</v>
      </c>
      <c r="Q3" s="2047"/>
      <c r="R3" s="2046" t="s">
        <v>464</v>
      </c>
      <c r="S3" s="2047"/>
      <c r="T3" s="2046" t="s">
        <v>462</v>
      </c>
      <c r="U3" s="2047"/>
      <c r="V3" s="2046" t="s">
        <v>463</v>
      </c>
      <c r="W3" s="2047"/>
      <c r="X3" s="2046" t="s">
        <v>461</v>
      </c>
      <c r="Y3" s="2047"/>
      <c r="Z3" s="2046" t="s">
        <v>283</v>
      </c>
      <c r="AA3" s="2047"/>
      <c r="AB3" s="2046" t="s">
        <v>200</v>
      </c>
      <c r="AC3" s="2047"/>
      <c r="AD3" s="2048" t="s">
        <v>201</v>
      </c>
      <c r="AE3" s="2049"/>
      <c r="AF3" s="2046" t="s">
        <v>202</v>
      </c>
      <c r="AG3" s="2047"/>
      <c r="AH3" s="2046" t="s">
        <v>438</v>
      </c>
      <c r="AI3" s="2047"/>
      <c r="AJ3" s="2046" t="s">
        <v>204</v>
      </c>
      <c r="AK3" s="2047"/>
      <c r="AL3" s="2048" t="s">
        <v>205</v>
      </c>
      <c r="AM3" s="2049"/>
      <c r="AN3" s="2046" t="s">
        <v>206</v>
      </c>
      <c r="AO3" s="2047"/>
      <c r="AP3" s="2046" t="s">
        <v>207</v>
      </c>
      <c r="AQ3" s="2047"/>
      <c r="AR3" s="2046" t="s">
        <v>460</v>
      </c>
      <c r="AS3" s="2047"/>
      <c r="AT3" s="2046" t="s">
        <v>209</v>
      </c>
      <c r="AU3" s="2047"/>
      <c r="AV3" s="2015" t="s">
        <v>1</v>
      </c>
      <c r="AW3" s="2017"/>
      <c r="AX3" s="2048" t="s">
        <v>210</v>
      </c>
      <c r="AY3" s="2049"/>
      <c r="AZ3" s="2025" t="s">
        <v>2</v>
      </c>
      <c r="BA3" s="2027"/>
    </row>
    <row r="4" spans="1:53" s="932" customFormat="1" ht="54.75" thickBot="1">
      <c r="A4" s="930"/>
      <c r="B4" s="931" t="s">
        <v>446</v>
      </c>
      <c r="C4" s="931" t="s">
        <v>448</v>
      </c>
      <c r="D4" s="931" t="s">
        <v>446</v>
      </c>
      <c r="E4" s="931" t="s">
        <v>448</v>
      </c>
      <c r="F4" s="931" t="s">
        <v>446</v>
      </c>
      <c r="G4" s="931" t="s">
        <v>448</v>
      </c>
      <c r="H4" s="931" t="s">
        <v>446</v>
      </c>
      <c r="I4" s="931" t="s">
        <v>448</v>
      </c>
      <c r="J4" s="931" t="s">
        <v>446</v>
      </c>
      <c r="K4" s="931" t="s">
        <v>448</v>
      </c>
      <c r="L4" s="931" t="s">
        <v>446</v>
      </c>
      <c r="M4" s="931" t="s">
        <v>448</v>
      </c>
      <c r="N4" s="931" t="s">
        <v>446</v>
      </c>
      <c r="O4" s="931" t="s">
        <v>448</v>
      </c>
      <c r="P4" s="931" t="s">
        <v>446</v>
      </c>
      <c r="Q4" s="931" t="s">
        <v>448</v>
      </c>
      <c r="R4" s="931" t="s">
        <v>446</v>
      </c>
      <c r="S4" s="931" t="s">
        <v>448</v>
      </c>
      <c r="T4" s="931" t="s">
        <v>446</v>
      </c>
      <c r="U4" s="931" t="s">
        <v>448</v>
      </c>
      <c r="V4" s="931" t="s">
        <v>446</v>
      </c>
      <c r="W4" s="931" t="s">
        <v>448</v>
      </c>
      <c r="X4" s="931" t="s">
        <v>446</v>
      </c>
      <c r="Y4" s="931" t="s">
        <v>448</v>
      </c>
      <c r="Z4" s="931" t="s">
        <v>446</v>
      </c>
      <c r="AA4" s="931" t="s">
        <v>448</v>
      </c>
      <c r="AB4" s="931" t="s">
        <v>446</v>
      </c>
      <c r="AC4" s="931" t="s">
        <v>448</v>
      </c>
      <c r="AD4" s="931" t="s">
        <v>446</v>
      </c>
      <c r="AE4" s="931" t="s">
        <v>448</v>
      </c>
      <c r="AF4" s="931" t="s">
        <v>446</v>
      </c>
      <c r="AG4" s="931" t="s">
        <v>448</v>
      </c>
      <c r="AH4" s="931" t="s">
        <v>446</v>
      </c>
      <c r="AI4" s="931" t="s">
        <v>448</v>
      </c>
      <c r="AJ4" s="931" t="s">
        <v>446</v>
      </c>
      <c r="AK4" s="931" t="s">
        <v>448</v>
      </c>
      <c r="AL4" s="931" t="s">
        <v>446</v>
      </c>
      <c r="AM4" s="931" t="s">
        <v>448</v>
      </c>
      <c r="AN4" s="931" t="s">
        <v>446</v>
      </c>
      <c r="AO4" s="931" t="s">
        <v>448</v>
      </c>
      <c r="AP4" s="931" t="s">
        <v>446</v>
      </c>
      <c r="AQ4" s="931" t="s">
        <v>448</v>
      </c>
      <c r="AR4" s="931" t="s">
        <v>446</v>
      </c>
      <c r="AS4" s="931" t="s">
        <v>448</v>
      </c>
      <c r="AT4" s="931" t="s">
        <v>446</v>
      </c>
      <c r="AU4" s="931" t="s">
        <v>448</v>
      </c>
      <c r="AV4" s="931" t="s">
        <v>446</v>
      </c>
      <c r="AW4" s="931" t="s">
        <v>448</v>
      </c>
      <c r="AX4" s="931" t="s">
        <v>446</v>
      </c>
      <c r="AY4" s="931" t="s">
        <v>448</v>
      </c>
      <c r="AZ4" s="1407" t="s">
        <v>446</v>
      </c>
      <c r="BA4" s="1408" t="s">
        <v>448</v>
      </c>
    </row>
    <row r="5" spans="1:53" s="51" customFormat="1" ht="15" thickBot="1">
      <c r="A5" s="291" t="s">
        <v>113</v>
      </c>
      <c r="B5" s="626">
        <v>3941188</v>
      </c>
      <c r="C5" s="626">
        <v>3583043</v>
      </c>
      <c r="D5" s="619">
        <v>240964</v>
      </c>
      <c r="E5" s="619">
        <v>204838</v>
      </c>
      <c r="F5" s="619">
        <v>925165</v>
      </c>
      <c r="G5" s="619">
        <v>885335</v>
      </c>
      <c r="H5" s="619">
        <v>4784000</v>
      </c>
      <c r="I5" s="619">
        <v>4304177</v>
      </c>
      <c r="J5" s="619">
        <v>607013.96</v>
      </c>
      <c r="K5" s="619">
        <v>476497.05</v>
      </c>
      <c r="L5" s="619">
        <v>1481998</v>
      </c>
      <c r="M5" s="619">
        <v>1247289</v>
      </c>
      <c r="N5" s="619">
        <v>379336.66</v>
      </c>
      <c r="O5" s="619">
        <v>299748.08</v>
      </c>
      <c r="P5" s="619">
        <v>228889.27</v>
      </c>
      <c r="Q5" s="619">
        <v>152416.4</v>
      </c>
      <c r="R5" s="619">
        <v>1369118</v>
      </c>
      <c r="S5" s="619">
        <v>1185942</v>
      </c>
      <c r="T5" s="619">
        <v>379523</v>
      </c>
      <c r="U5" s="619">
        <v>313993</v>
      </c>
      <c r="V5" s="619">
        <v>12123092</v>
      </c>
      <c r="W5" s="619">
        <v>10256550</v>
      </c>
      <c r="X5" s="619">
        <v>15499346.97</v>
      </c>
      <c r="Y5" s="619">
        <v>13485246.28</v>
      </c>
      <c r="Z5" s="623">
        <v>856587</v>
      </c>
      <c r="AA5" s="623">
        <v>719667</v>
      </c>
      <c r="AB5" s="619">
        <v>1439402</v>
      </c>
      <c r="AC5" s="619">
        <v>1241036</v>
      </c>
      <c r="AD5" s="619">
        <v>2952514</v>
      </c>
      <c r="AE5" s="619">
        <v>2366982</v>
      </c>
      <c r="AF5" s="619"/>
      <c r="AG5" s="619"/>
      <c r="AH5" s="619">
        <v>1984250</v>
      </c>
      <c r="AI5" s="619">
        <v>1682822</v>
      </c>
      <c r="AJ5" s="619">
        <v>1934113</v>
      </c>
      <c r="AK5" s="619">
        <v>1805166</v>
      </c>
      <c r="AL5" s="616"/>
      <c r="AM5" s="1399"/>
      <c r="AN5" s="615">
        <v>13978817.12</v>
      </c>
      <c r="AO5" s="615"/>
      <c r="AP5" s="611">
        <v>379980.46</v>
      </c>
      <c r="AQ5" s="611">
        <v>386791.09</v>
      </c>
      <c r="AR5" s="609">
        <v>838012</v>
      </c>
      <c r="AS5" s="609">
        <v>709713</v>
      </c>
      <c r="AT5" s="601">
        <v>2725952</v>
      </c>
      <c r="AU5" s="1247">
        <v>2252994</v>
      </c>
      <c r="AV5" s="74">
        <f>SUM(B5+D5+F5+H5+J5+L5+N5+P5+R5+T5+V5+X5+Z5+AB5+AD5+AF5+AH5+AJ5+AL5+AN5+AP5+AR5+AT5)</f>
        <v>69049262.44</v>
      </c>
      <c r="AW5" s="74">
        <f>SUM(C5+E5+G5+I5+K5+M5+O5+Q5+S5+U5+W5+Y5+AA5+AC5+AE5+AG5+AI5+AK5+AM5+AO5+AQ5+AS5+AU5)</f>
        <v>47560245.900000006</v>
      </c>
      <c r="AX5" s="607">
        <v>293416729</v>
      </c>
      <c r="AY5" s="1401">
        <v>265750112</v>
      </c>
      <c r="AZ5" s="1409">
        <f aca="true" t="shared" si="0" ref="AZ5:BA15">AV5+AX5</f>
        <v>362465991.44</v>
      </c>
      <c r="BA5" s="1427">
        <f t="shared" si="0"/>
        <v>313310357.9</v>
      </c>
    </row>
    <row r="6" spans="1:53" s="51" customFormat="1" ht="15" thickBot="1">
      <c r="A6" s="291" t="s">
        <v>114</v>
      </c>
      <c r="B6" s="627"/>
      <c r="C6" s="627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24"/>
      <c r="AA6" s="624"/>
      <c r="AB6" s="613"/>
      <c r="AC6" s="613"/>
      <c r="AD6" s="613"/>
      <c r="AE6" s="613"/>
      <c r="AF6" s="613"/>
      <c r="AG6" s="613"/>
      <c r="AH6" s="613"/>
      <c r="AI6" s="613"/>
      <c r="AJ6" s="613"/>
      <c r="AK6" s="613"/>
      <c r="AL6" s="617"/>
      <c r="AM6" s="617"/>
      <c r="AN6" s="613"/>
      <c r="AO6" s="613"/>
      <c r="AP6" s="612"/>
      <c r="AQ6" s="612"/>
      <c r="AR6" s="408"/>
      <c r="AS6" s="408"/>
      <c r="AT6" s="602"/>
      <c r="AU6" s="557"/>
      <c r="AV6" s="605">
        <f aca="true" t="shared" si="1" ref="AV6:AV11">SUM(B6+D6+F6+H6+J6+L6+N6+P6+R6+T6+V6+X6+Z6+AB6+AD6+AF6+AH6+AJ6+AL6+AN6+AP6+AR6+AT6)</f>
        <v>0</v>
      </c>
      <c r="AW6" s="74">
        <f aca="true" t="shared" si="2" ref="AW6:AW15">SUM(C6+E6+G6+I6+K6+M6+O6+Q6+S6+U6+W6+Y6+AA6+AC6+AE6+AG6+AI6+AK6+AM6+AO6+AQ6+AS6+AU6)</f>
        <v>0</v>
      </c>
      <c r="AX6" s="593"/>
      <c r="AY6" s="1402"/>
      <c r="AZ6" s="44">
        <f t="shared" si="0"/>
        <v>0</v>
      </c>
      <c r="BA6" s="1427">
        <f t="shared" si="0"/>
        <v>0</v>
      </c>
    </row>
    <row r="7" spans="1:53" s="51" customFormat="1" ht="15" thickBot="1">
      <c r="A7" s="291" t="s">
        <v>115</v>
      </c>
      <c r="B7" s="628">
        <v>3947183</v>
      </c>
      <c r="C7" s="628">
        <v>3596914</v>
      </c>
      <c r="D7" s="620">
        <v>222142</v>
      </c>
      <c r="E7" s="620">
        <v>194703</v>
      </c>
      <c r="F7" s="620">
        <v>880768</v>
      </c>
      <c r="G7" s="620">
        <v>840754</v>
      </c>
      <c r="H7" s="620">
        <v>4694777</v>
      </c>
      <c r="I7" s="620">
        <v>4258559</v>
      </c>
      <c r="J7" s="620">
        <v>574633.71</v>
      </c>
      <c r="K7" s="620">
        <v>448352.2</v>
      </c>
      <c r="L7" s="620">
        <v>1439239</v>
      </c>
      <c r="M7" s="620">
        <v>1222473</v>
      </c>
      <c r="N7" s="620">
        <v>372356.3</v>
      </c>
      <c r="O7" s="620">
        <v>291896.86</v>
      </c>
      <c r="P7" s="620">
        <v>226158.43</v>
      </c>
      <c r="Q7" s="620">
        <v>151430.41</v>
      </c>
      <c r="R7" s="620">
        <v>1354361</v>
      </c>
      <c r="S7" s="620">
        <v>1178749</v>
      </c>
      <c r="T7" s="620">
        <v>368996</v>
      </c>
      <c r="U7" s="620">
        <v>310498</v>
      </c>
      <c r="V7" s="620">
        <v>-12013178</v>
      </c>
      <c r="W7" s="620">
        <v>-10204553</v>
      </c>
      <c r="X7" s="620">
        <v>15272891.62</v>
      </c>
      <c r="Y7" s="620">
        <v>13207465.08</v>
      </c>
      <c r="Z7" s="624">
        <v>850798</v>
      </c>
      <c r="AA7" s="624">
        <v>705511</v>
      </c>
      <c r="AB7" s="620">
        <v>1396935</v>
      </c>
      <c r="AC7" s="620">
        <v>1218734</v>
      </c>
      <c r="AD7" s="622">
        <v>2816104</v>
      </c>
      <c r="AE7" s="622">
        <v>2259144</v>
      </c>
      <c r="AF7" s="620"/>
      <c r="AG7" s="620"/>
      <c r="AH7" s="620">
        <v>1953888</v>
      </c>
      <c r="AI7" s="620">
        <v>1668727</v>
      </c>
      <c r="AJ7" s="620">
        <v>1901693</v>
      </c>
      <c r="AK7" s="620">
        <v>1784397</v>
      </c>
      <c r="AL7" s="617"/>
      <c r="AM7" s="1399"/>
      <c r="AN7" s="615">
        <v>13953318.1</v>
      </c>
      <c r="AO7" s="615"/>
      <c r="AP7" s="612">
        <v>379893.88</v>
      </c>
      <c r="AQ7" s="612">
        <v>385099.08</v>
      </c>
      <c r="AR7" s="408">
        <v>799647</v>
      </c>
      <c r="AS7" s="408">
        <v>679974</v>
      </c>
      <c r="AT7" s="603">
        <v>2721148</v>
      </c>
      <c r="AU7" s="605">
        <v>2242283</v>
      </c>
      <c r="AV7" s="605">
        <f t="shared" si="1"/>
        <v>44113753.04000001</v>
      </c>
      <c r="AW7" s="74">
        <f t="shared" si="2"/>
        <v>26441110.629999995</v>
      </c>
      <c r="AX7" s="605">
        <v>278850653</v>
      </c>
      <c r="AY7" s="1403">
        <v>252928321</v>
      </c>
      <c r="AZ7" s="44">
        <f t="shared" si="0"/>
        <v>322964406.04</v>
      </c>
      <c r="BA7" s="1427">
        <f t="shared" si="0"/>
        <v>279369431.63</v>
      </c>
    </row>
    <row r="8" spans="1:53" s="51" customFormat="1" ht="15" thickBot="1">
      <c r="A8" s="291" t="s">
        <v>116</v>
      </c>
      <c r="B8" s="627"/>
      <c r="C8" s="627"/>
      <c r="D8" s="613"/>
      <c r="E8" s="613"/>
      <c r="F8" s="613">
        <v>39218</v>
      </c>
      <c r="G8" s="613">
        <v>41539</v>
      </c>
      <c r="H8" s="613"/>
      <c r="I8" s="613"/>
      <c r="J8" s="613">
        <v>14931.14</v>
      </c>
      <c r="K8" s="613">
        <v>19679.52</v>
      </c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>
        <v>118349.68</v>
      </c>
      <c r="Y8" s="613">
        <v>185358.64</v>
      </c>
      <c r="Z8" s="613"/>
      <c r="AA8" s="613"/>
      <c r="AB8" s="613">
        <v>33662</v>
      </c>
      <c r="AC8" s="613">
        <v>16472</v>
      </c>
      <c r="AD8" s="613">
        <v>99368</v>
      </c>
      <c r="AE8" s="613">
        <v>81881</v>
      </c>
      <c r="AF8" s="613"/>
      <c r="AG8" s="613"/>
      <c r="AH8" s="613">
        <v>472</v>
      </c>
      <c r="AI8" s="613">
        <v>1052</v>
      </c>
      <c r="AJ8" s="613">
        <v>32420</v>
      </c>
      <c r="AK8" s="613">
        <v>20768</v>
      </c>
      <c r="AL8" s="617"/>
      <c r="AM8" s="617"/>
      <c r="AN8" s="388"/>
      <c r="AO8" s="388"/>
      <c r="AP8" s="612"/>
      <c r="AQ8" s="612"/>
      <c r="AR8" s="408">
        <v>17555</v>
      </c>
      <c r="AS8" s="408">
        <v>12042</v>
      </c>
      <c r="AT8" s="602"/>
      <c r="AU8" s="557"/>
      <c r="AV8" s="605">
        <f t="shared" si="1"/>
        <v>355975.82</v>
      </c>
      <c r="AW8" s="74">
        <f t="shared" si="2"/>
        <v>378792.16000000003</v>
      </c>
      <c r="AX8" s="593">
        <v>14975</v>
      </c>
      <c r="AY8" s="1402">
        <v>229286</v>
      </c>
      <c r="AZ8" s="44">
        <f t="shared" si="0"/>
        <v>370950.82</v>
      </c>
      <c r="BA8" s="1427">
        <f t="shared" si="0"/>
        <v>608078.16</v>
      </c>
    </row>
    <row r="9" spans="1:53" s="51" customFormat="1" ht="15" thickBot="1">
      <c r="A9" s="600" t="s">
        <v>281</v>
      </c>
      <c r="B9" s="627">
        <v>-5995</v>
      </c>
      <c r="C9" s="627">
        <v>-13871</v>
      </c>
      <c r="D9" s="613">
        <v>18822</v>
      </c>
      <c r="E9" s="613">
        <v>10135</v>
      </c>
      <c r="F9" s="613">
        <v>5178</v>
      </c>
      <c r="G9" s="613">
        <v>3042</v>
      </c>
      <c r="H9" s="613">
        <v>89223</v>
      </c>
      <c r="I9" s="613">
        <v>45617</v>
      </c>
      <c r="J9" s="613">
        <v>17449.1</v>
      </c>
      <c r="K9" s="613">
        <v>8465.33</v>
      </c>
      <c r="L9" s="613">
        <v>42759</v>
      </c>
      <c r="M9" s="613">
        <v>24815</v>
      </c>
      <c r="N9" s="613">
        <v>6980.36</v>
      </c>
      <c r="O9" s="613">
        <v>7851.23</v>
      </c>
      <c r="P9" s="613">
        <v>2730.83</v>
      </c>
      <c r="Q9" s="613">
        <v>985.99</v>
      </c>
      <c r="R9" s="613">
        <v>14757</v>
      </c>
      <c r="S9" s="613">
        <v>7193</v>
      </c>
      <c r="T9" s="613">
        <v>10527</v>
      </c>
      <c r="U9" s="613">
        <v>3494</v>
      </c>
      <c r="V9" s="613">
        <v>109913</v>
      </c>
      <c r="W9" s="613">
        <v>51997</v>
      </c>
      <c r="X9" s="613">
        <v>108105.67</v>
      </c>
      <c r="Y9" s="613">
        <v>92422.56</v>
      </c>
      <c r="Z9" s="613">
        <v>5790</v>
      </c>
      <c r="AA9" s="613">
        <v>14156</v>
      </c>
      <c r="AB9" s="613">
        <v>8805</v>
      </c>
      <c r="AC9" s="613">
        <v>5830</v>
      </c>
      <c r="AD9" s="613">
        <v>37042</v>
      </c>
      <c r="AE9" s="613">
        <v>25957</v>
      </c>
      <c r="AF9" s="613"/>
      <c r="AG9" s="613"/>
      <c r="AH9" s="613">
        <v>29890</v>
      </c>
      <c r="AI9" s="613">
        <v>13043</v>
      </c>
      <c r="AJ9" s="613">
        <v>125547</v>
      </c>
      <c r="AK9" s="613">
        <v>123014</v>
      </c>
      <c r="AL9" s="617"/>
      <c r="AM9" s="1399"/>
      <c r="AN9" s="615">
        <v>25499.02</v>
      </c>
      <c r="AO9" s="615"/>
      <c r="AP9" s="612">
        <v>86.58</v>
      </c>
      <c r="AQ9" s="612">
        <v>1692.01</v>
      </c>
      <c r="AR9" s="408">
        <v>20810</v>
      </c>
      <c r="AS9" s="408">
        <v>17698</v>
      </c>
      <c r="AT9" s="602">
        <v>4804</v>
      </c>
      <c r="AU9" s="557">
        <v>10711</v>
      </c>
      <c r="AV9" s="605">
        <f t="shared" si="1"/>
        <v>678723.5599999999</v>
      </c>
      <c r="AW9" s="74">
        <f t="shared" si="2"/>
        <v>454248.12</v>
      </c>
      <c r="AX9" s="593">
        <v>14551101</v>
      </c>
      <c r="AY9" s="1402">
        <v>12592505</v>
      </c>
      <c r="AZ9" s="44">
        <f t="shared" si="0"/>
        <v>15229824.56</v>
      </c>
      <c r="BA9" s="1427">
        <f t="shared" si="0"/>
        <v>13046753.12</v>
      </c>
    </row>
    <row r="10" spans="1:53" s="51" customFormat="1" ht="15" thickBot="1">
      <c r="A10" s="291" t="s">
        <v>117</v>
      </c>
      <c r="B10" s="627">
        <v>213569</v>
      </c>
      <c r="C10" s="627">
        <v>210101</v>
      </c>
      <c r="D10" s="613">
        <v>18264</v>
      </c>
      <c r="E10" s="613">
        <v>11215</v>
      </c>
      <c r="F10" s="613">
        <v>71798</v>
      </c>
      <c r="G10" s="613">
        <v>66194</v>
      </c>
      <c r="H10" s="613">
        <v>957069</v>
      </c>
      <c r="I10" s="613">
        <v>929836</v>
      </c>
      <c r="J10" s="613">
        <v>41962.94</v>
      </c>
      <c r="K10" s="613">
        <v>36487.06</v>
      </c>
      <c r="L10" s="613">
        <v>87964</v>
      </c>
      <c r="M10" s="613">
        <v>73492</v>
      </c>
      <c r="N10" s="613">
        <v>60978.68</v>
      </c>
      <c r="O10" s="613">
        <v>76204.12</v>
      </c>
      <c r="P10" s="613">
        <v>19565.76</v>
      </c>
      <c r="Q10" s="613">
        <v>15998.61</v>
      </c>
      <c r="R10" s="613">
        <v>95422</v>
      </c>
      <c r="S10" s="613">
        <v>94469</v>
      </c>
      <c r="T10" s="613">
        <v>15490</v>
      </c>
      <c r="U10" s="613">
        <v>22354</v>
      </c>
      <c r="V10" s="613">
        <v>560034</v>
      </c>
      <c r="W10" s="613">
        <v>504881</v>
      </c>
      <c r="X10" s="613">
        <v>799267.15</v>
      </c>
      <c r="Y10" s="613">
        <v>728410.81</v>
      </c>
      <c r="Z10" s="624">
        <v>78314</v>
      </c>
      <c r="AA10" s="624">
        <v>70207</v>
      </c>
      <c r="AB10" s="613">
        <v>77292</v>
      </c>
      <c r="AC10" s="613">
        <v>80150</v>
      </c>
      <c r="AD10" s="613">
        <v>280504</v>
      </c>
      <c r="AE10" s="613">
        <v>228446</v>
      </c>
      <c r="AF10" s="613"/>
      <c r="AG10" s="613"/>
      <c r="AH10" s="613">
        <v>125874</v>
      </c>
      <c r="AI10" s="613">
        <v>113773</v>
      </c>
      <c r="AJ10" s="613"/>
      <c r="AK10" s="613"/>
      <c r="AL10" s="617"/>
      <c r="AM10" s="1399"/>
      <c r="AN10" s="615">
        <v>772724.62</v>
      </c>
      <c r="AO10" s="615"/>
      <c r="AP10" s="612">
        <v>38521.44</v>
      </c>
      <c r="AQ10" s="612">
        <v>39567.09</v>
      </c>
      <c r="AR10" s="408">
        <v>53649</v>
      </c>
      <c r="AS10" s="408">
        <v>46888</v>
      </c>
      <c r="AT10" s="602">
        <v>201519</v>
      </c>
      <c r="AU10" s="557">
        <v>196474</v>
      </c>
      <c r="AV10" s="605">
        <f t="shared" si="1"/>
        <v>4569782.59</v>
      </c>
      <c r="AW10" s="74">
        <f t="shared" si="2"/>
        <v>3545147.6900000004</v>
      </c>
      <c r="AX10" s="557">
        <v>10000</v>
      </c>
      <c r="AY10" s="1404">
        <v>10000</v>
      </c>
      <c r="AZ10" s="44">
        <f t="shared" si="0"/>
        <v>4579782.59</v>
      </c>
      <c r="BA10" s="1427">
        <f t="shared" si="0"/>
        <v>3555147.6900000004</v>
      </c>
    </row>
    <row r="11" spans="1:53" s="51" customFormat="1" ht="15" thickBot="1">
      <c r="A11" s="291" t="s">
        <v>114</v>
      </c>
      <c r="B11" s="627"/>
      <c r="C11" s="627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24"/>
      <c r="AA11" s="624"/>
      <c r="AB11" s="613"/>
      <c r="AC11" s="613"/>
      <c r="AD11" s="613"/>
      <c r="AE11" s="613"/>
      <c r="AF11" s="613"/>
      <c r="AG11" s="613"/>
      <c r="AH11" s="613"/>
      <c r="AI11" s="613"/>
      <c r="AJ11" s="613"/>
      <c r="AK11" s="613"/>
      <c r="AL11" s="617"/>
      <c r="AM11" s="617"/>
      <c r="AN11" s="388"/>
      <c r="AO11" s="388"/>
      <c r="AP11" s="612"/>
      <c r="AQ11" s="612"/>
      <c r="AR11" s="408"/>
      <c r="AS11" s="408"/>
      <c r="AT11" s="602"/>
      <c r="AU11" s="557"/>
      <c r="AV11" s="605">
        <f t="shared" si="1"/>
        <v>0</v>
      </c>
      <c r="AW11" s="74">
        <f t="shared" si="2"/>
        <v>0</v>
      </c>
      <c r="AX11" s="557"/>
      <c r="AY11" s="1404"/>
      <c r="AZ11" s="44">
        <f t="shared" si="0"/>
        <v>0</v>
      </c>
      <c r="BA11" s="1427">
        <f t="shared" si="0"/>
        <v>0</v>
      </c>
    </row>
    <row r="12" spans="1:53" s="51" customFormat="1" ht="15" thickBot="1">
      <c r="A12" s="291" t="s">
        <v>118</v>
      </c>
      <c r="B12" s="627"/>
      <c r="C12" s="627"/>
      <c r="D12" s="613"/>
      <c r="E12" s="613"/>
      <c r="F12" s="613">
        <v>171</v>
      </c>
      <c r="G12" s="613">
        <v>316</v>
      </c>
      <c r="H12" s="613">
        <v>29623</v>
      </c>
      <c r="I12" s="613">
        <v>29596</v>
      </c>
      <c r="J12" s="613">
        <v>19481.15</v>
      </c>
      <c r="K12" s="613">
        <v>17181.24</v>
      </c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>
        <v>134711.23</v>
      </c>
      <c r="Y12" s="613">
        <v>150449.04</v>
      </c>
      <c r="Z12" s="624"/>
      <c r="AA12" s="624"/>
      <c r="AB12" s="613">
        <v>13229</v>
      </c>
      <c r="AC12" s="613">
        <v>15241</v>
      </c>
      <c r="AD12" s="613">
        <v>2227</v>
      </c>
      <c r="AE12" s="613">
        <v>1479</v>
      </c>
      <c r="AF12" s="613"/>
      <c r="AG12" s="613"/>
      <c r="AH12" s="613"/>
      <c r="AI12" s="550"/>
      <c r="AJ12" s="550"/>
      <c r="AK12" s="550"/>
      <c r="AL12" s="617"/>
      <c r="AM12" s="617"/>
      <c r="AN12" s="388"/>
      <c r="AO12" s="388"/>
      <c r="AP12" s="612"/>
      <c r="AQ12" s="612"/>
      <c r="AR12" s="408">
        <v>728</v>
      </c>
      <c r="AS12" s="408">
        <v>344</v>
      </c>
      <c r="AT12" s="602"/>
      <c r="AU12" s="557"/>
      <c r="AV12" s="605">
        <f>SUM(B12+D12+F12+H12+J12+L12+N12+P12+R12+T12+V12+X12+Z12+AB12+AD12+AF12+AH12+AJ13+AL12+AN12+AP12+AR12+AT12)</f>
        <v>325717.38</v>
      </c>
      <c r="AW12" s="74">
        <f t="shared" si="2"/>
        <v>214606.28000000003</v>
      </c>
      <c r="AX12" s="557"/>
      <c r="AY12" s="1404"/>
      <c r="AZ12" s="44">
        <f t="shared" si="0"/>
        <v>325717.38</v>
      </c>
      <c r="BA12" s="1427">
        <f t="shared" si="0"/>
        <v>214606.28000000003</v>
      </c>
    </row>
    <row r="13" spans="1:53" s="51" customFormat="1" ht="15" thickBot="1">
      <c r="A13" s="600" t="s">
        <v>282</v>
      </c>
      <c r="B13" s="627">
        <v>213569</v>
      </c>
      <c r="C13" s="627">
        <v>210101</v>
      </c>
      <c r="D13" s="613">
        <v>18264</v>
      </c>
      <c r="E13" s="613">
        <v>11215</v>
      </c>
      <c r="F13" s="613">
        <v>71627</v>
      </c>
      <c r="G13" s="613">
        <v>65877</v>
      </c>
      <c r="H13" s="613">
        <v>928446</v>
      </c>
      <c r="I13" s="613">
        <v>900240</v>
      </c>
      <c r="J13" s="613">
        <v>22481.79</v>
      </c>
      <c r="K13" s="613">
        <v>19305.82</v>
      </c>
      <c r="L13" s="613">
        <v>87964</v>
      </c>
      <c r="M13" s="613">
        <v>73492</v>
      </c>
      <c r="N13" s="613">
        <v>60978.68</v>
      </c>
      <c r="O13" s="613">
        <v>76204.12</v>
      </c>
      <c r="P13" s="613">
        <v>19565.76</v>
      </c>
      <c r="Q13" s="613">
        <v>15998.61</v>
      </c>
      <c r="R13" s="613">
        <v>95422</v>
      </c>
      <c r="S13" s="613">
        <v>94469</v>
      </c>
      <c r="T13" s="613">
        <v>15490</v>
      </c>
      <c r="U13" s="613">
        <v>22354</v>
      </c>
      <c r="V13" s="613">
        <v>560034</v>
      </c>
      <c r="W13" s="613">
        <v>504881</v>
      </c>
      <c r="X13" s="613">
        <v>664555.92</v>
      </c>
      <c r="Y13" s="613">
        <v>577961.77</v>
      </c>
      <c r="Z13" s="624">
        <v>78314</v>
      </c>
      <c r="AA13" s="624">
        <v>70207</v>
      </c>
      <c r="AB13" s="613">
        <v>64063</v>
      </c>
      <c r="AC13" s="613">
        <v>64909</v>
      </c>
      <c r="AD13" s="613">
        <v>278277</v>
      </c>
      <c r="AE13" s="613">
        <v>226968</v>
      </c>
      <c r="AF13" s="613"/>
      <c r="AG13" s="613"/>
      <c r="AH13" s="613">
        <v>125874</v>
      </c>
      <c r="AI13" s="613">
        <v>113773</v>
      </c>
      <c r="AJ13" s="613">
        <v>125547</v>
      </c>
      <c r="AK13" s="613">
        <v>123014</v>
      </c>
      <c r="AL13" s="617"/>
      <c r="AM13" s="1399"/>
      <c r="AN13" s="615">
        <v>772724.62</v>
      </c>
      <c r="AO13" s="615"/>
      <c r="AP13" s="612">
        <v>38521.44</v>
      </c>
      <c r="AQ13" s="612">
        <v>39567.09</v>
      </c>
      <c r="AR13" s="408">
        <v>52921</v>
      </c>
      <c r="AS13" s="408">
        <v>46544</v>
      </c>
      <c r="AT13" s="602">
        <v>201519</v>
      </c>
      <c r="AU13" s="557">
        <v>196474</v>
      </c>
      <c r="AV13" s="605">
        <f>SUM(B13+D13+F13+H13+J13+L13+N13+P13+R13+T13+V13+X13+Z13+AB13+AD13+AF13+AH13+AJ13+AL13+AN13+AP13+AR13+AT13)</f>
        <v>4496159.21</v>
      </c>
      <c r="AW13" s="74">
        <f t="shared" si="2"/>
        <v>3453555.41</v>
      </c>
      <c r="AX13" s="593">
        <v>10000</v>
      </c>
      <c r="AY13" s="1402">
        <v>10000</v>
      </c>
      <c r="AZ13" s="44">
        <f t="shared" si="0"/>
        <v>4506159.21</v>
      </c>
      <c r="BA13" s="1427">
        <f t="shared" si="0"/>
        <v>3463555.41</v>
      </c>
    </row>
    <row r="14" spans="1:53" s="51" customFormat="1" ht="15" thickBot="1">
      <c r="A14" s="291" t="s">
        <v>119</v>
      </c>
      <c r="B14" s="627">
        <v>207575</v>
      </c>
      <c r="C14" s="627">
        <v>196230</v>
      </c>
      <c r="D14" s="613">
        <v>37086</v>
      </c>
      <c r="E14" s="613">
        <v>21350</v>
      </c>
      <c r="F14" s="613">
        <v>76806</v>
      </c>
      <c r="G14" s="613">
        <v>68920</v>
      </c>
      <c r="H14" s="613">
        <v>1017669</v>
      </c>
      <c r="I14" s="613">
        <v>945857</v>
      </c>
      <c r="J14" s="613">
        <v>39930.89</v>
      </c>
      <c r="K14" s="613">
        <v>27771.15</v>
      </c>
      <c r="L14" s="613">
        <v>130723</v>
      </c>
      <c r="M14" s="613">
        <v>98308</v>
      </c>
      <c r="N14" s="613">
        <v>67959.05</v>
      </c>
      <c r="O14" s="613">
        <v>84055.35</v>
      </c>
      <c r="P14" s="613">
        <v>22296.59</v>
      </c>
      <c r="Q14" s="613">
        <v>16984.6</v>
      </c>
      <c r="R14" s="613">
        <v>110178</v>
      </c>
      <c r="S14" s="613">
        <v>101662</v>
      </c>
      <c r="T14" s="613">
        <v>26017</v>
      </c>
      <c r="U14" s="613">
        <v>25848</v>
      </c>
      <c r="V14" s="613">
        <v>669947</v>
      </c>
      <c r="W14" s="613">
        <v>556879</v>
      </c>
      <c r="X14" s="613">
        <v>772661.59</v>
      </c>
      <c r="Y14" s="613">
        <v>670384.33</v>
      </c>
      <c r="Z14" s="613">
        <v>84104</v>
      </c>
      <c r="AA14" s="613">
        <v>84363</v>
      </c>
      <c r="AB14" s="613">
        <v>72868</v>
      </c>
      <c r="AC14" s="613">
        <v>70740</v>
      </c>
      <c r="AD14" s="613">
        <v>315319</v>
      </c>
      <c r="AE14" s="613">
        <v>252925</v>
      </c>
      <c r="AF14" s="613"/>
      <c r="AG14" s="613"/>
      <c r="AH14" s="613">
        <v>155764</v>
      </c>
      <c r="AI14" s="613">
        <v>126815</v>
      </c>
      <c r="AJ14" s="613">
        <v>157968</v>
      </c>
      <c r="AK14" s="613">
        <v>143782</v>
      </c>
      <c r="AL14" s="613"/>
      <c r="AM14" s="613"/>
      <c r="AN14" s="613">
        <v>798223.64</v>
      </c>
      <c r="AO14" s="613"/>
      <c r="AP14" s="613">
        <v>38608.01</v>
      </c>
      <c r="AQ14" s="613">
        <v>41259.1</v>
      </c>
      <c r="AR14" s="602">
        <v>73731</v>
      </c>
      <c r="AS14" s="602">
        <v>64242</v>
      </c>
      <c r="AT14" s="602">
        <v>206323</v>
      </c>
      <c r="AU14" s="557">
        <v>207185</v>
      </c>
      <c r="AV14" s="605">
        <f>SUM(B14+D14+F14+H14+J14+L14+N14+P14+R14+T14+V14+X14+Z14+AB14+AD14+AF14+AH14+AJ14+AL14+AN14+AP14+AR14+AT14)</f>
        <v>5081757.77</v>
      </c>
      <c r="AW14" s="74">
        <f t="shared" si="2"/>
        <v>3805560.5300000003</v>
      </c>
      <c r="AX14" s="557">
        <v>14561101</v>
      </c>
      <c r="AY14" s="1404">
        <v>12602505</v>
      </c>
      <c r="AZ14" s="44">
        <f t="shared" si="0"/>
        <v>19642858.77</v>
      </c>
      <c r="BA14" s="1427">
        <f t="shared" si="0"/>
        <v>16408065.530000001</v>
      </c>
    </row>
    <row r="15" spans="1:53" s="51" customFormat="1" ht="15" thickBot="1">
      <c r="A15" s="291" t="s">
        <v>120</v>
      </c>
      <c r="B15" s="629">
        <v>106035</v>
      </c>
      <c r="C15" s="629">
        <v>92345</v>
      </c>
      <c r="D15" s="621">
        <v>13530</v>
      </c>
      <c r="E15" s="621">
        <v>10947</v>
      </c>
      <c r="F15" s="621">
        <v>25047</v>
      </c>
      <c r="G15" s="621">
        <v>23613</v>
      </c>
      <c r="H15" s="621">
        <v>128829</v>
      </c>
      <c r="I15" s="621">
        <v>122176</v>
      </c>
      <c r="J15" s="621">
        <v>22684.81</v>
      </c>
      <c r="K15" s="621">
        <v>17144.26</v>
      </c>
      <c r="L15" s="621">
        <v>33405</v>
      </c>
      <c r="M15" s="621">
        <v>26560</v>
      </c>
      <c r="N15" s="621">
        <v>19382.97</v>
      </c>
      <c r="O15" s="621">
        <v>15700</v>
      </c>
      <c r="P15" s="621">
        <v>10416.5</v>
      </c>
      <c r="Q15" s="621">
        <v>7642.29</v>
      </c>
      <c r="R15" s="621">
        <v>55960</v>
      </c>
      <c r="S15" s="621">
        <v>52764</v>
      </c>
      <c r="T15" s="621">
        <v>16660</v>
      </c>
      <c r="U15" s="621">
        <v>13333</v>
      </c>
      <c r="V15" s="621">
        <v>346564</v>
      </c>
      <c r="W15" s="621">
        <v>282203</v>
      </c>
      <c r="X15" s="621">
        <v>356585.08</v>
      </c>
      <c r="Y15" s="621">
        <v>285808.33</v>
      </c>
      <c r="Z15" s="625">
        <v>26294</v>
      </c>
      <c r="AA15" s="625">
        <v>22037</v>
      </c>
      <c r="AB15" s="621">
        <v>40663</v>
      </c>
      <c r="AC15" s="621">
        <v>35970</v>
      </c>
      <c r="AD15" s="621">
        <v>104280</v>
      </c>
      <c r="AE15" s="621">
        <v>81437</v>
      </c>
      <c r="AF15" s="621"/>
      <c r="AG15" s="621"/>
      <c r="AH15" s="621">
        <v>77516</v>
      </c>
      <c r="AI15" s="621">
        <v>62711</v>
      </c>
      <c r="AJ15" s="621">
        <v>59344</v>
      </c>
      <c r="AK15" s="621">
        <v>53757</v>
      </c>
      <c r="AL15" s="618"/>
      <c r="AM15" s="1399"/>
      <c r="AN15" s="615">
        <v>367227.03</v>
      </c>
      <c r="AO15" s="615"/>
      <c r="AP15" s="614">
        <v>21158.79</v>
      </c>
      <c r="AQ15" s="614">
        <v>21141.13</v>
      </c>
      <c r="AR15" s="610">
        <v>27872</v>
      </c>
      <c r="AS15" s="610">
        <v>23123</v>
      </c>
      <c r="AT15" s="604">
        <v>93922</v>
      </c>
      <c r="AU15" s="1400">
        <v>71290</v>
      </c>
      <c r="AV15" s="606">
        <f>SUM(B15+D15+F15+H15+J15+L15+N15+P15+R15+T15+V15+X15+Z15+AB15+AD15+AF15+AH15+AJ15+AL15+AN15+AP15+AR15+AT15)</f>
        <v>1953376.1800000002</v>
      </c>
      <c r="AW15" s="74">
        <f t="shared" si="2"/>
        <v>1321702.01</v>
      </c>
      <c r="AX15" s="608">
        <v>9083492</v>
      </c>
      <c r="AY15" s="1405">
        <v>8303301</v>
      </c>
      <c r="AZ15" s="44">
        <f t="shared" si="0"/>
        <v>11036868.18</v>
      </c>
      <c r="BA15" s="1427">
        <f t="shared" si="0"/>
        <v>9625003.01</v>
      </c>
    </row>
    <row r="16" spans="1:53" s="941" customFormat="1" ht="15" thickBot="1">
      <c r="A16" s="933" t="s">
        <v>121</v>
      </c>
      <c r="B16" s="934">
        <v>1.96</v>
      </c>
      <c r="C16" s="934">
        <v>2.12</v>
      </c>
      <c r="D16" s="935">
        <v>2.74</v>
      </c>
      <c r="E16" s="935">
        <f>E14/E15</f>
        <v>1.9503060199141318</v>
      </c>
      <c r="F16" s="935">
        <v>3.07</v>
      </c>
      <c r="G16" s="935">
        <v>2.92</v>
      </c>
      <c r="H16" s="935">
        <v>7.9</v>
      </c>
      <c r="I16" s="935">
        <f aca="true" t="shared" si="3" ref="I16:BA16">I14/I15</f>
        <v>7.741757792037716</v>
      </c>
      <c r="J16" s="935">
        <f t="shared" si="3"/>
        <v>1.7602479368352655</v>
      </c>
      <c r="K16" s="935">
        <f t="shared" si="3"/>
        <v>1.6198511921774403</v>
      </c>
      <c r="L16" s="935">
        <f t="shared" si="3"/>
        <v>3.9132764556204163</v>
      </c>
      <c r="M16" s="935">
        <f t="shared" si="3"/>
        <v>3.701355421686747</v>
      </c>
      <c r="N16" s="935">
        <f t="shared" si="3"/>
        <v>3.5061216108780027</v>
      </c>
      <c r="O16" s="935">
        <f t="shared" si="3"/>
        <v>5.353843949044586</v>
      </c>
      <c r="P16" s="935">
        <f t="shared" si="3"/>
        <v>2.1405068881102096</v>
      </c>
      <c r="Q16" s="935">
        <f t="shared" si="3"/>
        <v>2.222449030329914</v>
      </c>
      <c r="R16" s="935">
        <f t="shared" si="3"/>
        <v>1.9688706218727663</v>
      </c>
      <c r="S16" s="935">
        <f t="shared" si="3"/>
        <v>1.926730346448336</v>
      </c>
      <c r="T16" s="935">
        <f t="shared" si="3"/>
        <v>1.5616446578631453</v>
      </c>
      <c r="U16" s="935">
        <f t="shared" si="3"/>
        <v>1.9386484662116552</v>
      </c>
      <c r="V16" s="935">
        <f t="shared" si="3"/>
        <v>1.933111921607553</v>
      </c>
      <c r="W16" s="935">
        <f t="shared" si="3"/>
        <v>1.9733277109031442</v>
      </c>
      <c r="X16" s="935">
        <f t="shared" si="3"/>
        <v>2.166836565343676</v>
      </c>
      <c r="Y16" s="935">
        <f t="shared" si="3"/>
        <v>2.3455730978869647</v>
      </c>
      <c r="Z16" s="936">
        <f t="shared" si="3"/>
        <v>3.1986004411652846</v>
      </c>
      <c r="AA16" s="936">
        <f t="shared" si="3"/>
        <v>3.828243408812452</v>
      </c>
      <c r="AB16" s="935">
        <f t="shared" si="3"/>
        <v>1.7919976391313972</v>
      </c>
      <c r="AC16" s="935">
        <f t="shared" si="3"/>
        <v>1.9666388657214344</v>
      </c>
      <c r="AD16" s="935">
        <f t="shared" si="3"/>
        <v>3.0237725354813962</v>
      </c>
      <c r="AE16" s="935">
        <f t="shared" si="3"/>
        <v>3.1057750162702455</v>
      </c>
      <c r="AF16" s="935" t="e">
        <f t="shared" si="3"/>
        <v>#DIV/0!</v>
      </c>
      <c r="AG16" s="935" t="e">
        <f t="shared" si="3"/>
        <v>#DIV/0!</v>
      </c>
      <c r="AH16" s="935">
        <f t="shared" si="3"/>
        <v>2.0094432117240313</v>
      </c>
      <c r="AI16" s="935">
        <f t="shared" si="3"/>
        <v>2.0222130088820145</v>
      </c>
      <c r="AJ16" s="935">
        <f t="shared" si="3"/>
        <v>2.661903478026422</v>
      </c>
      <c r="AK16" s="935">
        <f t="shared" si="3"/>
        <v>2.674665624941868</v>
      </c>
      <c r="AL16" s="937" t="e">
        <f t="shared" si="3"/>
        <v>#DIV/0!</v>
      </c>
      <c r="AM16" s="937" t="e">
        <f t="shared" si="3"/>
        <v>#DIV/0!</v>
      </c>
      <c r="AN16" s="935">
        <f t="shared" si="3"/>
        <v>2.173651650860232</v>
      </c>
      <c r="AO16" s="935" t="e">
        <f t="shared" si="3"/>
        <v>#DIV/0!</v>
      </c>
      <c r="AP16" s="938">
        <f t="shared" si="3"/>
        <v>1.8246794830895339</v>
      </c>
      <c r="AQ16" s="938">
        <f t="shared" si="3"/>
        <v>1.9516033438136937</v>
      </c>
      <c r="AR16" s="939">
        <f t="shared" si="3"/>
        <v>2.645342996555683</v>
      </c>
      <c r="AS16" s="939">
        <f t="shared" si="3"/>
        <v>2.7782727154780953</v>
      </c>
      <c r="AT16" s="933">
        <f t="shared" si="3"/>
        <v>2.1967483656651265</v>
      </c>
      <c r="AU16" s="940">
        <f t="shared" si="3"/>
        <v>2.9062280824800113</v>
      </c>
      <c r="AV16" s="940">
        <f t="shared" si="3"/>
        <v>2.601525411249767</v>
      </c>
      <c r="AW16" s="940">
        <f t="shared" si="3"/>
        <v>2.879287843407305</v>
      </c>
      <c r="AX16" s="940">
        <f t="shared" si="3"/>
        <v>1.6030289892917833</v>
      </c>
      <c r="AY16" s="1406">
        <f t="shared" si="3"/>
        <v>1.5177704626148083</v>
      </c>
      <c r="AZ16" s="1410">
        <f t="shared" si="3"/>
        <v>1.7797493319341249</v>
      </c>
      <c r="BA16" s="1489">
        <f t="shared" si="3"/>
        <v>1.704733547922288</v>
      </c>
    </row>
  </sheetData>
  <sheetProtection/>
  <mergeCells count="28">
    <mergeCell ref="AP3:AQ3"/>
    <mergeCell ref="AR3:AS3"/>
    <mergeCell ref="AT3:AU3"/>
    <mergeCell ref="AV3:AW3"/>
    <mergeCell ref="AX3:AY3"/>
    <mergeCell ref="AZ3:BA3"/>
    <mergeCell ref="AD3:AE3"/>
    <mergeCell ref="AF3:AG3"/>
    <mergeCell ref="AH3:AI3"/>
    <mergeCell ref="AJ3:AK3"/>
    <mergeCell ref="AL3:AM3"/>
    <mergeCell ref="AN3:AO3"/>
    <mergeCell ref="R3:S3"/>
    <mergeCell ref="T3:U3"/>
    <mergeCell ref="V3:W3"/>
    <mergeCell ref="X3:Y3"/>
    <mergeCell ref="Z3:AA3"/>
    <mergeCell ref="AB3:AC3"/>
    <mergeCell ref="A1:AZ1"/>
    <mergeCell ref="A2:AZ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DU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I18" sqref="CI18"/>
    </sheetView>
  </sheetViews>
  <sheetFormatPr defaultColWidth="9.140625" defaultRowHeight="15"/>
  <cols>
    <col min="1" max="1" width="43.421875" style="14" customWidth="1"/>
    <col min="2" max="2" width="16.140625" style="14" customWidth="1"/>
    <col min="3" max="3" width="7.421875" style="14" customWidth="1"/>
    <col min="4" max="4" width="19.57421875" style="14" bestFit="1" customWidth="1"/>
    <col min="5" max="5" width="13.8515625" style="14" bestFit="1" customWidth="1"/>
    <col min="6" max="6" width="8.7109375" style="14" bestFit="1" customWidth="1"/>
    <col min="7" max="7" width="17.8515625" style="14" bestFit="1" customWidth="1"/>
    <col min="8" max="8" width="5.57421875" style="14" bestFit="1" customWidth="1"/>
    <col min="9" max="9" width="21.7109375" style="14" bestFit="1" customWidth="1"/>
    <col min="10" max="10" width="15.57421875" style="14" bestFit="1" customWidth="1"/>
    <col min="11" max="11" width="9.28125" style="14" customWidth="1"/>
    <col min="12" max="12" width="16.28125" style="14" bestFit="1" customWidth="1"/>
    <col min="13" max="13" width="9.28125" style="14" customWidth="1"/>
    <col min="14" max="14" width="19.57421875" style="14" bestFit="1" customWidth="1"/>
    <col min="15" max="15" width="13.8515625" style="14" bestFit="1" customWidth="1"/>
    <col min="16" max="16" width="9.28125" style="14" customWidth="1"/>
    <col min="17" max="17" width="16.28125" style="14" bestFit="1" customWidth="1"/>
    <col min="18" max="18" width="9.28125" style="14" customWidth="1"/>
    <col min="19" max="19" width="19.57421875" style="14" bestFit="1" customWidth="1"/>
    <col min="20" max="20" width="13.8515625" style="14" bestFit="1" customWidth="1"/>
    <col min="21" max="21" width="9.28125" style="14" customWidth="1"/>
    <col min="22" max="22" width="16.28125" style="14" bestFit="1" customWidth="1"/>
    <col min="23" max="23" width="5.140625" style="14" bestFit="1" customWidth="1"/>
    <col min="24" max="24" width="19.57421875" style="14" bestFit="1" customWidth="1"/>
    <col min="25" max="25" width="13.8515625" style="14" bestFit="1" customWidth="1"/>
    <col min="26" max="26" width="9.28125" style="14" customWidth="1"/>
    <col min="27" max="27" width="16.28125" style="14" bestFit="1" customWidth="1"/>
    <col min="28" max="28" width="5.140625" style="14" bestFit="1" customWidth="1"/>
    <col min="29" max="29" width="19.57421875" style="14" bestFit="1" customWidth="1"/>
    <col min="30" max="30" width="13.8515625" style="14" bestFit="1" customWidth="1"/>
    <col min="31" max="31" width="9.28125" style="14" customWidth="1"/>
    <col min="32" max="32" width="16.28125" style="14" bestFit="1" customWidth="1"/>
    <col min="33" max="33" width="5.140625" style="14" bestFit="1" customWidth="1"/>
    <col min="34" max="34" width="19.57421875" style="14" bestFit="1" customWidth="1"/>
    <col min="35" max="35" width="13.8515625" style="14" bestFit="1" customWidth="1"/>
    <col min="36" max="36" width="10.140625" style="14" customWidth="1"/>
    <col min="37" max="37" width="16.28125" style="14" bestFit="1" customWidth="1"/>
    <col min="38" max="38" width="6.421875" style="14" customWidth="1"/>
    <col min="39" max="39" width="19.57421875" style="14" bestFit="1" customWidth="1"/>
    <col min="40" max="40" width="13.8515625" style="14" bestFit="1" customWidth="1"/>
    <col min="41" max="41" width="11.00390625" style="14" customWidth="1"/>
    <col min="42" max="42" width="16.28125" style="14" bestFit="1" customWidth="1"/>
    <col min="43" max="43" width="7.421875" style="14" customWidth="1"/>
    <col min="44" max="44" width="19.57421875" style="14" bestFit="1" customWidth="1"/>
    <col min="45" max="45" width="13.8515625" style="14" bestFit="1" customWidth="1"/>
    <col min="46" max="46" width="8.8515625" style="14" customWidth="1"/>
    <col min="47" max="47" width="16.28125" style="14" bestFit="1" customWidth="1"/>
    <col min="48" max="48" width="5.140625" style="14" bestFit="1" customWidth="1"/>
    <col min="49" max="49" width="19.57421875" style="14" bestFit="1" customWidth="1"/>
    <col min="50" max="50" width="13.8515625" style="14" bestFit="1" customWidth="1"/>
    <col min="51" max="51" width="8.57421875" style="14" bestFit="1" customWidth="1"/>
    <col min="52" max="52" width="16.28125" style="14" bestFit="1" customWidth="1"/>
    <col min="53" max="53" width="5.140625" style="14" bestFit="1" customWidth="1"/>
    <col min="54" max="54" width="19.57421875" style="14" bestFit="1" customWidth="1"/>
    <col min="55" max="55" width="13.8515625" style="14" bestFit="1" customWidth="1"/>
    <col min="56" max="56" width="9.28125" style="14" customWidth="1"/>
    <col min="57" max="57" width="16.28125" style="14" bestFit="1" customWidth="1"/>
    <col min="58" max="58" width="8.7109375" style="14" bestFit="1" customWidth="1"/>
    <col min="59" max="59" width="19.57421875" style="14" bestFit="1" customWidth="1"/>
    <col min="60" max="60" width="13.8515625" style="14" bestFit="1" customWidth="1"/>
    <col min="61" max="61" width="12.00390625" style="14" customWidth="1"/>
    <col min="62" max="62" width="16.28125" style="14" bestFit="1" customWidth="1"/>
    <col min="63" max="63" width="7.00390625" style="14" bestFit="1" customWidth="1"/>
    <col min="64" max="64" width="19.57421875" style="14" bestFit="1" customWidth="1"/>
    <col min="65" max="65" width="13.8515625" style="14" bestFit="1" customWidth="1"/>
    <col min="66" max="66" width="9.28125" style="14" customWidth="1"/>
    <col min="67" max="67" width="16.28125" style="14" bestFit="1" customWidth="1"/>
    <col min="68" max="68" width="9.28125" style="14" customWidth="1"/>
    <col min="69" max="69" width="19.57421875" style="14" bestFit="1" customWidth="1"/>
    <col min="70" max="70" width="13.8515625" style="14" bestFit="1" customWidth="1"/>
    <col min="71" max="71" width="11.140625" style="14" customWidth="1"/>
    <col min="72" max="72" width="16.28125" style="14" bestFit="1" customWidth="1"/>
    <col min="73" max="73" width="12.00390625" style="14" customWidth="1"/>
    <col min="74" max="74" width="19.57421875" style="14" bestFit="1" customWidth="1"/>
    <col min="75" max="75" width="13.8515625" style="14" bestFit="1" customWidth="1"/>
    <col min="76" max="76" width="9.57421875" style="14" customWidth="1"/>
    <col min="77" max="77" width="16.28125" style="14" bestFit="1" customWidth="1"/>
    <col min="78" max="78" width="9.28125" style="14" customWidth="1"/>
    <col min="79" max="79" width="9.7109375" style="14" customWidth="1"/>
    <col min="80" max="80" width="13.8515625" style="14" bestFit="1" customWidth="1"/>
    <col min="81" max="81" width="9.28125" style="14" customWidth="1"/>
    <col min="82" max="82" width="16.28125" style="14" bestFit="1" customWidth="1"/>
    <col min="83" max="83" width="5.140625" style="14" bestFit="1" customWidth="1"/>
    <col min="84" max="84" width="19.57421875" style="14" bestFit="1" customWidth="1"/>
    <col min="85" max="85" width="13.8515625" style="14" bestFit="1" customWidth="1"/>
    <col min="86" max="86" width="10.57421875" style="14" customWidth="1"/>
    <col min="87" max="87" width="16.28125" style="14" bestFit="1" customWidth="1"/>
    <col min="88" max="88" width="5.140625" style="14" bestFit="1" customWidth="1"/>
    <col min="89" max="89" width="19.57421875" style="14" bestFit="1" customWidth="1"/>
    <col min="90" max="90" width="13.8515625" style="14" bestFit="1" customWidth="1"/>
    <col min="91" max="91" width="10.140625" style="14" customWidth="1"/>
    <col min="92" max="92" width="16.28125" style="14" bestFit="1" customWidth="1"/>
    <col min="93" max="93" width="5.140625" style="14" bestFit="1" customWidth="1"/>
    <col min="94" max="94" width="19.57421875" style="14" bestFit="1" customWidth="1"/>
    <col min="95" max="95" width="13.8515625" style="14" bestFit="1" customWidth="1"/>
    <col min="96" max="96" width="9.140625" style="14" customWidth="1"/>
    <col min="97" max="97" width="16.28125" style="14" bestFit="1" customWidth="1"/>
    <col min="98" max="98" width="6.7109375" style="14" bestFit="1" customWidth="1"/>
    <col min="99" max="99" width="10.140625" style="14" customWidth="1"/>
    <col min="100" max="100" width="13.8515625" style="14" bestFit="1" customWidth="1"/>
    <col min="101" max="101" width="11.421875" style="14" customWidth="1"/>
    <col min="102" max="102" width="16.28125" style="14" bestFit="1" customWidth="1"/>
    <col min="103" max="103" width="5.140625" style="14" bestFit="1" customWidth="1"/>
    <col min="104" max="104" width="19.57421875" style="14" bestFit="1" customWidth="1"/>
    <col min="105" max="105" width="13.8515625" style="14" bestFit="1" customWidth="1"/>
    <col min="106" max="106" width="9.28125" style="14" customWidth="1"/>
    <col min="107" max="107" width="16.28125" style="14" bestFit="1" customWidth="1"/>
    <col min="108" max="108" width="5.140625" style="14" bestFit="1" customWidth="1"/>
    <col min="109" max="109" width="19.57421875" style="14" bestFit="1" customWidth="1"/>
    <col min="110" max="110" width="13.8515625" style="14" bestFit="1" customWidth="1"/>
    <col min="111" max="111" width="9.28125" style="14" customWidth="1"/>
    <col min="112" max="112" width="16.28125" style="14" bestFit="1" customWidth="1"/>
    <col min="113" max="113" width="5.140625" style="14" bestFit="1" customWidth="1"/>
    <col min="114" max="114" width="19.57421875" style="14" bestFit="1" customWidth="1"/>
    <col min="115" max="115" width="13.8515625" style="14" bestFit="1" customWidth="1"/>
    <col min="116" max="116" width="9.28125" style="14" customWidth="1"/>
    <col min="117" max="117" width="16.28125" style="14" bestFit="1" customWidth="1"/>
    <col min="118" max="118" width="5.140625" style="14" bestFit="1" customWidth="1"/>
    <col min="119" max="119" width="19.57421875" style="14" bestFit="1" customWidth="1"/>
    <col min="120" max="120" width="13.8515625" style="14" bestFit="1" customWidth="1"/>
    <col min="121" max="121" width="9.57421875" style="14" customWidth="1"/>
    <col min="122" max="16384" width="9.140625" style="14" customWidth="1"/>
  </cols>
  <sheetData>
    <row r="1" spans="1:121" ht="14.25">
      <c r="A1" s="2042" t="s">
        <v>258</v>
      </c>
      <c r="B1" s="2042"/>
      <c r="C1" s="2042"/>
      <c r="D1" s="2042"/>
      <c r="E1" s="2042"/>
      <c r="F1" s="2042"/>
      <c r="G1" s="2042"/>
      <c r="H1" s="2042"/>
      <c r="I1" s="2042"/>
      <c r="J1" s="2042"/>
      <c r="K1" s="2042"/>
      <c r="L1" s="2042"/>
      <c r="M1" s="2042"/>
      <c r="N1" s="2042"/>
      <c r="O1" s="2042"/>
      <c r="P1" s="2042"/>
      <c r="Q1" s="2042"/>
      <c r="R1" s="2042"/>
      <c r="S1" s="2042"/>
      <c r="T1" s="2042"/>
      <c r="U1" s="2042"/>
      <c r="V1" s="2042"/>
      <c r="W1" s="2042"/>
      <c r="X1" s="2042"/>
      <c r="Y1" s="2042"/>
      <c r="Z1" s="2042"/>
      <c r="AA1" s="2042"/>
      <c r="AB1" s="2042"/>
      <c r="AC1" s="2042"/>
      <c r="AD1" s="2042"/>
      <c r="AE1" s="2042"/>
      <c r="AF1" s="2042"/>
      <c r="AG1" s="2042"/>
      <c r="AH1" s="2042"/>
      <c r="AI1" s="2042"/>
      <c r="AJ1" s="2042"/>
      <c r="AK1" s="2042"/>
      <c r="AL1" s="2042"/>
      <c r="AM1" s="2042"/>
      <c r="AN1" s="2042"/>
      <c r="AO1" s="2042"/>
      <c r="AP1" s="2042"/>
      <c r="AQ1" s="2042"/>
      <c r="AR1" s="2042"/>
      <c r="AS1" s="2042"/>
      <c r="AT1" s="2042"/>
      <c r="AU1" s="2042"/>
      <c r="AV1" s="2042"/>
      <c r="AW1" s="2042"/>
      <c r="AX1" s="2042"/>
      <c r="AY1" s="2042"/>
      <c r="AZ1" s="2042"/>
      <c r="BA1" s="2042"/>
      <c r="BB1" s="2042"/>
      <c r="BC1" s="2042"/>
      <c r="BD1" s="2042"/>
      <c r="BE1" s="2042"/>
      <c r="BF1" s="2042"/>
      <c r="BG1" s="2042"/>
      <c r="BH1" s="2042"/>
      <c r="BI1" s="2042"/>
      <c r="BJ1" s="2042"/>
      <c r="BK1" s="2042"/>
      <c r="BL1" s="2042"/>
      <c r="BM1" s="2042"/>
      <c r="BN1" s="2042"/>
      <c r="BO1" s="2042"/>
      <c r="BP1" s="2042"/>
      <c r="BQ1" s="2042"/>
      <c r="BR1" s="2042"/>
      <c r="BS1" s="2042"/>
      <c r="BT1" s="2042"/>
      <c r="BU1" s="2042"/>
      <c r="BV1" s="2042"/>
      <c r="BW1" s="2042"/>
      <c r="BX1" s="2042"/>
      <c r="BY1" s="2042"/>
      <c r="BZ1" s="2042"/>
      <c r="CA1" s="2042"/>
      <c r="CB1" s="2042"/>
      <c r="CC1" s="2042"/>
      <c r="CD1" s="2042"/>
      <c r="CE1" s="2042"/>
      <c r="CF1" s="2042"/>
      <c r="CG1" s="2042"/>
      <c r="CH1" s="2042"/>
      <c r="CI1" s="2042"/>
      <c r="CJ1" s="2042"/>
      <c r="CK1" s="2042"/>
      <c r="CL1" s="2042"/>
      <c r="CM1" s="2042"/>
      <c r="CN1" s="2042"/>
      <c r="CO1" s="2042"/>
      <c r="CP1" s="2042"/>
      <c r="CQ1" s="2042"/>
      <c r="CR1" s="2042"/>
      <c r="CS1" s="2042"/>
      <c r="CT1" s="2042"/>
      <c r="CU1" s="2042"/>
      <c r="CV1" s="2042"/>
      <c r="CW1" s="2042"/>
      <c r="CX1" s="2042"/>
      <c r="CY1" s="2042"/>
      <c r="CZ1" s="2042"/>
      <c r="DA1" s="2042"/>
      <c r="DB1" s="2042"/>
      <c r="DC1" s="2042"/>
      <c r="DD1" s="2042"/>
      <c r="DE1" s="2042"/>
      <c r="DF1" s="2042"/>
      <c r="DG1" s="2042"/>
      <c r="DH1" s="2042"/>
      <c r="DI1" s="2042"/>
      <c r="DJ1" s="2042"/>
      <c r="DK1" s="2042"/>
      <c r="DL1" s="2042"/>
      <c r="DM1" s="2042"/>
      <c r="DN1" s="2042"/>
      <c r="DO1" s="2042"/>
      <c r="DP1" s="2042"/>
      <c r="DQ1" s="2042"/>
    </row>
    <row r="2" spans="1:121" ht="15" thickBot="1">
      <c r="A2" s="2055" t="s">
        <v>467</v>
      </c>
      <c r="B2" s="2055"/>
      <c r="C2" s="2055"/>
      <c r="D2" s="2055"/>
      <c r="E2" s="2055"/>
      <c r="F2" s="2055"/>
      <c r="G2" s="2055"/>
      <c r="H2" s="2055"/>
      <c r="I2" s="2055"/>
      <c r="J2" s="2055"/>
      <c r="K2" s="2055"/>
      <c r="L2" s="2055"/>
      <c r="M2" s="2055"/>
      <c r="N2" s="2055"/>
      <c r="O2" s="2055"/>
      <c r="P2" s="2055"/>
      <c r="Q2" s="2055"/>
      <c r="R2" s="2055"/>
      <c r="S2" s="2055"/>
      <c r="T2" s="2055"/>
      <c r="U2" s="2055"/>
      <c r="V2" s="2055"/>
      <c r="W2" s="2055"/>
      <c r="X2" s="2055"/>
      <c r="Y2" s="2055"/>
      <c r="Z2" s="2055"/>
      <c r="AA2" s="2055"/>
      <c r="AB2" s="2055"/>
      <c r="AC2" s="2055"/>
      <c r="AD2" s="2055"/>
      <c r="AE2" s="2055"/>
      <c r="AF2" s="2055"/>
      <c r="AG2" s="2055"/>
      <c r="AH2" s="2055"/>
      <c r="AI2" s="2055"/>
      <c r="AJ2" s="2055"/>
      <c r="AK2" s="2055"/>
      <c r="AL2" s="2055"/>
      <c r="AM2" s="2055"/>
      <c r="AN2" s="2055"/>
      <c r="AO2" s="2055"/>
      <c r="AP2" s="2055"/>
      <c r="AQ2" s="2055"/>
      <c r="AR2" s="2055"/>
      <c r="AS2" s="2055"/>
      <c r="AT2" s="2055"/>
      <c r="AU2" s="2055"/>
      <c r="AV2" s="2055"/>
      <c r="AW2" s="2055"/>
      <c r="AX2" s="2055"/>
      <c r="AY2" s="2055"/>
      <c r="AZ2" s="2055"/>
      <c r="BA2" s="2055"/>
      <c r="BB2" s="2055"/>
      <c r="BC2" s="2055"/>
      <c r="BD2" s="2055"/>
      <c r="BE2" s="2055"/>
      <c r="BF2" s="2055"/>
      <c r="BG2" s="2055"/>
      <c r="BH2" s="2055"/>
      <c r="BI2" s="2055"/>
      <c r="BJ2" s="2055"/>
      <c r="BK2" s="2055"/>
      <c r="BL2" s="2055"/>
      <c r="BM2" s="2055"/>
      <c r="BN2" s="2055"/>
      <c r="BO2" s="2055"/>
      <c r="BP2" s="2055"/>
      <c r="BQ2" s="2055"/>
      <c r="BR2" s="2055"/>
      <c r="BS2" s="2055"/>
      <c r="BT2" s="2055"/>
      <c r="BU2" s="2055"/>
      <c r="BV2" s="2055"/>
      <c r="BW2" s="2055"/>
      <c r="BX2" s="2055"/>
      <c r="BY2" s="2055"/>
      <c r="BZ2" s="2055"/>
      <c r="CA2" s="2055"/>
      <c r="CB2" s="2055"/>
      <c r="CC2" s="2055"/>
      <c r="CD2" s="2055"/>
      <c r="CE2" s="2055"/>
      <c r="CF2" s="2055"/>
      <c r="CG2" s="2055"/>
      <c r="CH2" s="2055"/>
      <c r="CI2" s="2055"/>
      <c r="CJ2" s="2055"/>
      <c r="CK2" s="2055"/>
      <c r="CL2" s="2055"/>
      <c r="CM2" s="2055"/>
      <c r="CN2" s="2055"/>
      <c r="CO2" s="2055"/>
      <c r="CP2" s="2055"/>
      <c r="CQ2" s="2055"/>
      <c r="CR2" s="2055"/>
      <c r="CS2" s="2055"/>
      <c r="CT2" s="2055"/>
      <c r="CU2" s="2055"/>
      <c r="CV2" s="2055"/>
      <c r="CW2" s="2055"/>
      <c r="CX2" s="2055"/>
      <c r="CY2" s="2055"/>
      <c r="CZ2" s="2055"/>
      <c r="DA2" s="2055"/>
      <c r="DB2" s="2055"/>
      <c r="DC2" s="2055"/>
      <c r="DD2" s="2055"/>
      <c r="DE2" s="2055"/>
      <c r="DF2" s="2055"/>
      <c r="DG2" s="2055"/>
      <c r="DH2" s="2055"/>
      <c r="DI2" s="2055"/>
      <c r="DJ2" s="2055"/>
      <c r="DK2" s="2055"/>
      <c r="DL2" s="2055"/>
      <c r="DM2" s="2055"/>
      <c r="DN2" s="2055"/>
      <c r="DO2" s="2055"/>
      <c r="DP2" s="2055"/>
      <c r="DQ2" s="2055"/>
    </row>
    <row r="3" spans="1:121" ht="27.75" customHeight="1" thickBot="1">
      <c r="A3" s="2056" t="s">
        <v>0</v>
      </c>
      <c r="B3" s="2058" t="s">
        <v>252</v>
      </c>
      <c r="C3" s="2059"/>
      <c r="D3" s="2059"/>
      <c r="E3" s="2059"/>
      <c r="F3" s="2060"/>
      <c r="G3" s="2050" t="s">
        <v>188</v>
      </c>
      <c r="H3" s="2037"/>
      <c r="I3" s="2037"/>
      <c r="J3" s="2037"/>
      <c r="K3" s="2038"/>
      <c r="L3" s="2037" t="s">
        <v>189</v>
      </c>
      <c r="M3" s="2037"/>
      <c r="N3" s="2037"/>
      <c r="O3" s="2037"/>
      <c r="P3" s="2038"/>
      <c r="Q3" s="2050" t="s">
        <v>251</v>
      </c>
      <c r="R3" s="2037"/>
      <c r="S3" s="2037"/>
      <c r="T3" s="2037"/>
      <c r="U3" s="2038"/>
      <c r="V3" s="2050" t="s">
        <v>250</v>
      </c>
      <c r="W3" s="2037"/>
      <c r="X3" s="2037"/>
      <c r="Y3" s="2037"/>
      <c r="Z3" s="2038"/>
      <c r="AA3" s="2050" t="s">
        <v>249</v>
      </c>
      <c r="AB3" s="2037"/>
      <c r="AC3" s="2037"/>
      <c r="AD3" s="2037"/>
      <c r="AE3" s="2038"/>
      <c r="AF3" s="2050" t="s">
        <v>248</v>
      </c>
      <c r="AG3" s="2037"/>
      <c r="AH3" s="2037"/>
      <c r="AI3" s="2037"/>
      <c r="AJ3" s="2038"/>
      <c r="AK3" s="2050" t="s">
        <v>259</v>
      </c>
      <c r="AL3" s="2037"/>
      <c r="AM3" s="2037"/>
      <c r="AN3" s="2037"/>
      <c r="AO3" s="2038"/>
      <c r="AP3" s="2050" t="s">
        <v>247</v>
      </c>
      <c r="AQ3" s="2037"/>
      <c r="AR3" s="2037"/>
      <c r="AS3" s="2037"/>
      <c r="AT3" s="2038"/>
      <c r="AU3" s="2051" t="s">
        <v>246</v>
      </c>
      <c r="AV3" s="2052"/>
      <c r="AW3" s="2052"/>
      <c r="AX3" s="2052"/>
      <c r="AY3" s="2053"/>
      <c r="AZ3" s="2054" t="s">
        <v>245</v>
      </c>
      <c r="BA3" s="2052"/>
      <c r="BB3" s="2052"/>
      <c r="BC3" s="2052"/>
      <c r="BD3" s="2053"/>
      <c r="BE3" s="2051" t="s">
        <v>244</v>
      </c>
      <c r="BF3" s="2052"/>
      <c r="BG3" s="2052"/>
      <c r="BH3" s="2052"/>
      <c r="BI3" s="2053"/>
      <c r="BJ3" s="2051" t="s">
        <v>283</v>
      </c>
      <c r="BK3" s="2052"/>
      <c r="BL3" s="2052"/>
      <c r="BM3" s="2052"/>
      <c r="BN3" s="2053"/>
      <c r="BO3" s="2051" t="s">
        <v>243</v>
      </c>
      <c r="BP3" s="2052"/>
      <c r="BQ3" s="2052"/>
      <c r="BR3" s="2052"/>
      <c r="BS3" s="2053"/>
      <c r="BT3" s="2064" t="s">
        <v>242</v>
      </c>
      <c r="BU3" s="2065"/>
      <c r="BV3" s="2065"/>
      <c r="BW3" s="2065"/>
      <c r="BX3" s="2066"/>
      <c r="BY3" s="2054" t="s">
        <v>241</v>
      </c>
      <c r="BZ3" s="2052"/>
      <c r="CA3" s="2052"/>
      <c r="CB3" s="2052"/>
      <c r="CC3" s="2053"/>
      <c r="CD3" s="2054" t="s">
        <v>240</v>
      </c>
      <c r="CE3" s="2052"/>
      <c r="CF3" s="2052"/>
      <c r="CG3" s="2052"/>
      <c r="CH3" s="2053"/>
      <c r="CI3" s="2051" t="s">
        <v>239</v>
      </c>
      <c r="CJ3" s="2052"/>
      <c r="CK3" s="2052"/>
      <c r="CL3" s="2052"/>
      <c r="CM3" s="2053"/>
      <c r="CN3" s="2064" t="s">
        <v>205</v>
      </c>
      <c r="CO3" s="2065"/>
      <c r="CP3" s="2065"/>
      <c r="CQ3" s="2065"/>
      <c r="CR3" s="2066"/>
      <c r="CS3" s="2037" t="s">
        <v>236</v>
      </c>
      <c r="CT3" s="2037"/>
      <c r="CU3" s="2037"/>
      <c r="CV3" s="2037"/>
      <c r="CW3" s="2038"/>
      <c r="CX3" s="2050" t="s">
        <v>237</v>
      </c>
      <c r="CY3" s="2037"/>
      <c r="CZ3" s="2037"/>
      <c r="DA3" s="2037"/>
      <c r="DB3" s="2038"/>
      <c r="DC3" s="2050" t="s">
        <v>238</v>
      </c>
      <c r="DD3" s="2037"/>
      <c r="DE3" s="2037"/>
      <c r="DF3" s="2037"/>
      <c r="DG3" s="2037"/>
      <c r="DH3" s="2050" t="s">
        <v>209</v>
      </c>
      <c r="DI3" s="2037"/>
      <c r="DJ3" s="2037"/>
      <c r="DK3" s="2037"/>
      <c r="DL3" s="2038"/>
      <c r="DM3" s="2061" t="s">
        <v>210</v>
      </c>
      <c r="DN3" s="2062"/>
      <c r="DO3" s="2062"/>
      <c r="DP3" s="2062"/>
      <c r="DQ3" s="2063"/>
    </row>
    <row r="4" spans="1:121" s="921" customFormat="1" ht="15" thickBot="1">
      <c r="A4" s="2057"/>
      <c r="B4" s="1532" t="s">
        <v>211</v>
      </c>
      <c r="C4" s="1533" t="s">
        <v>178</v>
      </c>
      <c r="D4" s="1533" t="s">
        <v>212</v>
      </c>
      <c r="E4" s="1533" t="s">
        <v>213</v>
      </c>
      <c r="F4" s="1534" t="s">
        <v>214</v>
      </c>
      <c r="G4" s="1286" t="s">
        <v>211</v>
      </c>
      <c r="H4" s="1287" t="s">
        <v>178</v>
      </c>
      <c r="I4" s="1287" t="s">
        <v>212</v>
      </c>
      <c r="J4" s="1287" t="s">
        <v>213</v>
      </c>
      <c r="K4" s="1288" t="s">
        <v>214</v>
      </c>
      <c r="L4" s="922" t="s">
        <v>211</v>
      </c>
      <c r="M4" s="922" t="s">
        <v>178</v>
      </c>
      <c r="N4" s="922" t="s">
        <v>212</v>
      </c>
      <c r="O4" s="922" t="s">
        <v>213</v>
      </c>
      <c r="P4" s="912" t="s">
        <v>214</v>
      </c>
      <c r="Q4" s="985" t="s">
        <v>211</v>
      </c>
      <c r="R4" s="922" t="s">
        <v>178</v>
      </c>
      <c r="S4" s="922" t="s">
        <v>212</v>
      </c>
      <c r="T4" s="922" t="s">
        <v>213</v>
      </c>
      <c r="U4" s="912" t="s">
        <v>214</v>
      </c>
      <c r="V4" s="985" t="s">
        <v>211</v>
      </c>
      <c r="W4" s="922" t="s">
        <v>178</v>
      </c>
      <c r="X4" s="922" t="s">
        <v>212</v>
      </c>
      <c r="Y4" s="922" t="s">
        <v>213</v>
      </c>
      <c r="Z4" s="912" t="s">
        <v>214</v>
      </c>
      <c r="AA4" s="985" t="s">
        <v>211</v>
      </c>
      <c r="AB4" s="922" t="s">
        <v>178</v>
      </c>
      <c r="AC4" s="922" t="s">
        <v>212</v>
      </c>
      <c r="AD4" s="922" t="s">
        <v>213</v>
      </c>
      <c r="AE4" s="912" t="s">
        <v>214</v>
      </c>
      <c r="AF4" s="985" t="s">
        <v>211</v>
      </c>
      <c r="AG4" s="922" t="s">
        <v>178</v>
      </c>
      <c r="AH4" s="922" t="s">
        <v>212</v>
      </c>
      <c r="AI4" s="922" t="s">
        <v>213</v>
      </c>
      <c r="AJ4" s="912" t="s">
        <v>214</v>
      </c>
      <c r="AK4" s="985" t="s">
        <v>211</v>
      </c>
      <c r="AL4" s="922" t="s">
        <v>178</v>
      </c>
      <c r="AM4" s="922" t="s">
        <v>212</v>
      </c>
      <c r="AN4" s="922" t="s">
        <v>213</v>
      </c>
      <c r="AO4" s="912" t="s">
        <v>214</v>
      </c>
      <c r="AP4" s="985" t="s">
        <v>211</v>
      </c>
      <c r="AQ4" s="922" t="s">
        <v>178</v>
      </c>
      <c r="AR4" s="922" t="s">
        <v>212</v>
      </c>
      <c r="AS4" s="922" t="s">
        <v>213</v>
      </c>
      <c r="AT4" s="912" t="s">
        <v>214</v>
      </c>
      <c r="AU4" s="985" t="s">
        <v>211</v>
      </c>
      <c r="AV4" s="922" t="s">
        <v>178</v>
      </c>
      <c r="AW4" s="922" t="s">
        <v>212</v>
      </c>
      <c r="AX4" s="922" t="s">
        <v>213</v>
      </c>
      <c r="AY4" s="912" t="s">
        <v>214</v>
      </c>
      <c r="AZ4" s="922" t="s">
        <v>211</v>
      </c>
      <c r="BA4" s="922" t="s">
        <v>178</v>
      </c>
      <c r="BB4" s="922" t="s">
        <v>212</v>
      </c>
      <c r="BC4" s="922" t="s">
        <v>213</v>
      </c>
      <c r="BD4" s="912" t="s">
        <v>214</v>
      </c>
      <c r="BE4" s="985" t="s">
        <v>211</v>
      </c>
      <c r="BF4" s="922" t="s">
        <v>178</v>
      </c>
      <c r="BG4" s="922" t="s">
        <v>212</v>
      </c>
      <c r="BH4" s="922" t="s">
        <v>213</v>
      </c>
      <c r="BI4" s="912" t="s">
        <v>214</v>
      </c>
      <c r="BJ4" s="985" t="s">
        <v>211</v>
      </c>
      <c r="BK4" s="922" t="s">
        <v>178</v>
      </c>
      <c r="BL4" s="922" t="s">
        <v>212</v>
      </c>
      <c r="BM4" s="922" t="s">
        <v>213</v>
      </c>
      <c r="BN4" s="912" t="s">
        <v>214</v>
      </c>
      <c r="BO4" s="985" t="s">
        <v>211</v>
      </c>
      <c r="BP4" s="922" t="s">
        <v>178</v>
      </c>
      <c r="BQ4" s="922" t="s">
        <v>212</v>
      </c>
      <c r="BR4" s="922" t="s">
        <v>213</v>
      </c>
      <c r="BS4" s="912" t="s">
        <v>214</v>
      </c>
      <c r="BT4" s="922" t="s">
        <v>211</v>
      </c>
      <c r="BU4" s="922" t="s">
        <v>178</v>
      </c>
      <c r="BV4" s="922" t="s">
        <v>212</v>
      </c>
      <c r="BW4" s="922" t="s">
        <v>213</v>
      </c>
      <c r="BX4" s="912" t="s">
        <v>214</v>
      </c>
      <c r="BY4" s="922" t="s">
        <v>211</v>
      </c>
      <c r="BZ4" s="922" t="s">
        <v>178</v>
      </c>
      <c r="CA4" s="922" t="s">
        <v>212</v>
      </c>
      <c r="CB4" s="922" t="s">
        <v>213</v>
      </c>
      <c r="CC4" s="912" t="s">
        <v>214</v>
      </c>
      <c r="CD4" s="922" t="s">
        <v>211</v>
      </c>
      <c r="CE4" s="922" t="s">
        <v>178</v>
      </c>
      <c r="CF4" s="922" t="s">
        <v>212</v>
      </c>
      <c r="CG4" s="922" t="s">
        <v>213</v>
      </c>
      <c r="CH4" s="912" t="s">
        <v>214</v>
      </c>
      <c r="CI4" s="985" t="s">
        <v>211</v>
      </c>
      <c r="CJ4" s="922" t="s">
        <v>178</v>
      </c>
      <c r="CK4" s="922" t="s">
        <v>212</v>
      </c>
      <c r="CL4" s="922" t="s">
        <v>213</v>
      </c>
      <c r="CM4" s="912" t="s">
        <v>214</v>
      </c>
      <c r="CN4" s="985" t="s">
        <v>211</v>
      </c>
      <c r="CO4" s="922" t="s">
        <v>178</v>
      </c>
      <c r="CP4" s="922" t="s">
        <v>212</v>
      </c>
      <c r="CQ4" s="922" t="s">
        <v>213</v>
      </c>
      <c r="CR4" s="912" t="s">
        <v>214</v>
      </c>
      <c r="CS4" s="985" t="s">
        <v>211</v>
      </c>
      <c r="CT4" s="922" t="s">
        <v>178</v>
      </c>
      <c r="CU4" s="922" t="s">
        <v>212</v>
      </c>
      <c r="CV4" s="922" t="s">
        <v>213</v>
      </c>
      <c r="CW4" s="912" t="s">
        <v>214</v>
      </c>
      <c r="CX4" s="985" t="s">
        <v>211</v>
      </c>
      <c r="CY4" s="922" t="s">
        <v>178</v>
      </c>
      <c r="CZ4" s="922" t="s">
        <v>212</v>
      </c>
      <c r="DA4" s="922" t="s">
        <v>213</v>
      </c>
      <c r="DB4" s="912" t="s">
        <v>214</v>
      </c>
      <c r="DC4" s="985" t="s">
        <v>211</v>
      </c>
      <c r="DD4" s="922" t="s">
        <v>178</v>
      </c>
      <c r="DE4" s="922" t="s">
        <v>212</v>
      </c>
      <c r="DF4" s="922" t="s">
        <v>213</v>
      </c>
      <c r="DG4" s="922" t="s">
        <v>214</v>
      </c>
      <c r="DH4" s="985" t="s">
        <v>211</v>
      </c>
      <c r="DI4" s="922" t="s">
        <v>178</v>
      </c>
      <c r="DJ4" s="922" t="s">
        <v>212</v>
      </c>
      <c r="DK4" s="922" t="s">
        <v>213</v>
      </c>
      <c r="DL4" s="912" t="s">
        <v>214</v>
      </c>
      <c r="DM4" s="985" t="s">
        <v>211</v>
      </c>
      <c r="DN4" s="922" t="s">
        <v>178</v>
      </c>
      <c r="DO4" s="922" t="s">
        <v>212</v>
      </c>
      <c r="DP4" s="922" t="s">
        <v>213</v>
      </c>
      <c r="DQ4" s="912" t="s">
        <v>214</v>
      </c>
    </row>
    <row r="5" spans="1:125" ht="15.75" thickBot="1">
      <c r="A5" s="926" t="s">
        <v>215</v>
      </c>
      <c r="B5" s="1535">
        <v>4058.44</v>
      </c>
      <c r="C5" s="1536">
        <v>26.86</v>
      </c>
      <c r="D5" s="1536"/>
      <c r="E5" s="1536">
        <v>7185.28</v>
      </c>
      <c r="F5" s="1537">
        <f>SUM(B5:E5)</f>
        <v>11270.58</v>
      </c>
      <c r="G5" s="1538">
        <v>0</v>
      </c>
      <c r="H5" s="1539">
        <v>0</v>
      </c>
      <c r="I5" s="1539">
        <v>0</v>
      </c>
      <c r="J5" s="1539">
        <v>0</v>
      </c>
      <c r="K5" s="1540">
        <f>SUM(G5:J5)</f>
        <v>0</v>
      </c>
      <c r="L5" s="1538">
        <v>950.29</v>
      </c>
      <c r="M5" s="1539"/>
      <c r="N5" s="1539">
        <v>142.43</v>
      </c>
      <c r="O5" s="1539">
        <v>4346.24</v>
      </c>
      <c r="P5" s="1540">
        <f>SUM(L5:O5)</f>
        <v>5438.96</v>
      </c>
      <c r="Q5" s="1541">
        <v>7413.87</v>
      </c>
      <c r="R5" s="1539">
        <v>12.5</v>
      </c>
      <c r="S5" s="1539">
        <v>1819.79</v>
      </c>
      <c r="T5" s="1539">
        <v>18096.34</v>
      </c>
      <c r="U5" s="1540">
        <f>SUM(Q5:T5)</f>
        <v>27342.5</v>
      </c>
      <c r="V5" s="1541">
        <v>1445.15</v>
      </c>
      <c r="W5" s="1539"/>
      <c r="X5" s="1539">
        <v>80.25</v>
      </c>
      <c r="Y5" s="1539">
        <v>2988.53</v>
      </c>
      <c r="Z5" s="1540">
        <f>SUM(V5:Y5)</f>
        <v>4513.93</v>
      </c>
      <c r="AA5" s="1541">
        <v>1737.05</v>
      </c>
      <c r="AB5" s="1539"/>
      <c r="AC5" s="1539">
        <v>32.58</v>
      </c>
      <c r="AD5" s="1539">
        <v>2365.71</v>
      </c>
      <c r="AE5" s="1540">
        <f>SUM(AA5:AD5)</f>
        <v>4135.34</v>
      </c>
      <c r="AF5" s="1542">
        <v>991.94</v>
      </c>
      <c r="AG5" s="1543"/>
      <c r="AH5" s="1543">
        <v>0.65</v>
      </c>
      <c r="AI5" s="1543">
        <v>1659.37</v>
      </c>
      <c r="AJ5" s="1544">
        <f>SUM(AF5:AI5)</f>
        <v>2651.96</v>
      </c>
      <c r="AK5" s="1541">
        <v>3.2</v>
      </c>
      <c r="AL5" s="1539"/>
      <c r="AM5" s="1539">
        <v>2.74</v>
      </c>
      <c r="AN5" s="1539">
        <v>14.4</v>
      </c>
      <c r="AO5" s="1540">
        <f>SUM(AK5:AN5)</f>
        <v>20.34</v>
      </c>
      <c r="AP5" s="1541">
        <v>21.75</v>
      </c>
      <c r="AQ5" s="1539">
        <v>388.12</v>
      </c>
      <c r="AR5" s="1539">
        <v>7222.32</v>
      </c>
      <c r="AS5" s="1539">
        <v>700.85</v>
      </c>
      <c r="AT5" s="1545">
        <v>10486.91</v>
      </c>
      <c r="AU5" s="1541">
        <v>622.61</v>
      </c>
      <c r="AV5" s="1539"/>
      <c r="AW5" s="1539">
        <v>145.96</v>
      </c>
      <c r="AX5" s="1539">
        <v>1719.74</v>
      </c>
      <c r="AY5" s="1539">
        <f>SUM(AU5:AX5)</f>
        <v>2488.31</v>
      </c>
      <c r="AZ5" s="1539">
        <v>10065.12</v>
      </c>
      <c r="BA5" s="1539"/>
      <c r="BB5" s="1539">
        <v>860.23</v>
      </c>
      <c r="BC5" s="1539">
        <v>28976</v>
      </c>
      <c r="BD5" s="1545">
        <f>SUM(AZ5:BC5)</f>
        <v>39901.35</v>
      </c>
      <c r="BE5" s="1546">
        <v>10564.82</v>
      </c>
      <c r="BF5" s="1547">
        <v>315.51</v>
      </c>
      <c r="BG5" s="1547">
        <v>2400.38</v>
      </c>
      <c r="BH5" s="1547">
        <v>29941.28</v>
      </c>
      <c r="BI5" s="1548">
        <f>SUM(BE5:BH5)</f>
        <v>43221.99</v>
      </c>
      <c r="BJ5" s="1541">
        <v>1571.93</v>
      </c>
      <c r="BK5" s="1539">
        <v>4.37</v>
      </c>
      <c r="BL5" s="1539">
        <v>617.23</v>
      </c>
      <c r="BM5" s="1539">
        <v>3559.89</v>
      </c>
      <c r="BN5" s="1540">
        <f>SUM(BJ5:BM5)</f>
        <v>5753.42</v>
      </c>
      <c r="BO5" s="1541">
        <v>1707</v>
      </c>
      <c r="BP5" s="1539"/>
      <c r="BQ5" s="1539">
        <v>27.27</v>
      </c>
      <c r="BR5" s="1539">
        <v>504.07</v>
      </c>
      <c r="BS5" s="1548">
        <f>SUM(BO5:BR5)</f>
        <v>2238.34</v>
      </c>
      <c r="BT5" s="1538">
        <v>2588.24</v>
      </c>
      <c r="BU5" s="1539">
        <v>56.73</v>
      </c>
      <c r="BV5" s="1539">
        <v>104.35</v>
      </c>
      <c r="BW5" s="1539">
        <v>13499.58</v>
      </c>
      <c r="BX5" s="1539">
        <f>SUM(BT5:BW5)</f>
        <v>16248.9</v>
      </c>
      <c r="BY5" s="1539"/>
      <c r="BZ5" s="1539"/>
      <c r="CA5" s="1539"/>
      <c r="CB5" s="1539"/>
      <c r="CC5" s="1539">
        <f>SUM(BY5:CB5)</f>
        <v>0</v>
      </c>
      <c r="CD5" s="1539">
        <v>6264.27</v>
      </c>
      <c r="CE5" s="1539"/>
      <c r="CF5" s="1539"/>
      <c r="CG5" s="1539">
        <v>8141.12</v>
      </c>
      <c r="CH5" s="1545">
        <f>SUM(CD5:CG5)</f>
        <v>14405.39</v>
      </c>
      <c r="CI5" s="1546">
        <v>3114.94</v>
      </c>
      <c r="CJ5" s="1547"/>
      <c r="CK5" s="1547">
        <v>105.23</v>
      </c>
      <c r="CL5" s="1547">
        <v>10980.73</v>
      </c>
      <c r="CM5" s="1548">
        <v>14200.91</v>
      </c>
      <c r="CN5" s="1538"/>
      <c r="CO5" s="1539"/>
      <c r="CP5" s="1539"/>
      <c r="CQ5" s="1539"/>
      <c r="CR5" s="1540">
        <f>SUM(CN5:CQ5)</f>
        <v>0</v>
      </c>
      <c r="CS5" s="1549">
        <v>12948.28</v>
      </c>
      <c r="CT5" s="1550">
        <v>175.63</v>
      </c>
      <c r="CU5" s="1550">
        <v>2416.15</v>
      </c>
      <c r="CV5" s="1550">
        <v>27464.53</v>
      </c>
      <c r="CW5" s="1551">
        <f>SUM(CS5:CV5)</f>
        <v>43004.59</v>
      </c>
      <c r="CX5" s="1541">
        <v>1019.98</v>
      </c>
      <c r="CY5" s="1539"/>
      <c r="CZ5" s="1539">
        <v>40.27</v>
      </c>
      <c r="DA5" s="1539">
        <v>2196.53</v>
      </c>
      <c r="DB5" s="1540">
        <f>SUM(CX5:DA5)</f>
        <v>3256.78</v>
      </c>
      <c r="DC5" s="1541">
        <v>929.21</v>
      </c>
      <c r="DD5" s="1539"/>
      <c r="DE5" s="1539">
        <v>225.7</v>
      </c>
      <c r="DF5" s="1539">
        <v>3287.33</v>
      </c>
      <c r="DG5" s="1545">
        <f>SUM(DC5:DF5)</f>
        <v>4442.24</v>
      </c>
      <c r="DH5" s="1541">
        <v>0</v>
      </c>
      <c r="DI5" s="1539">
        <v>0</v>
      </c>
      <c r="DJ5" s="1539">
        <v>0</v>
      </c>
      <c r="DK5" s="1539">
        <v>0</v>
      </c>
      <c r="DL5" s="1540">
        <f>SUM(DH5:DK5)</f>
        <v>0</v>
      </c>
      <c r="DM5" s="1541"/>
      <c r="DN5" s="1539"/>
      <c r="DO5" s="1539"/>
      <c r="DP5" s="1539"/>
      <c r="DQ5" s="1540">
        <f>SUM(DM5:DP5)</f>
        <v>0</v>
      </c>
      <c r="DR5" s="1552"/>
      <c r="DS5" s="1552"/>
      <c r="DT5" s="1552"/>
      <c r="DU5" s="1552"/>
    </row>
    <row r="6" spans="1:125" ht="15">
      <c r="A6" s="927" t="s">
        <v>216</v>
      </c>
      <c r="B6" s="1553"/>
      <c r="C6" s="1554"/>
      <c r="D6" s="1554"/>
      <c r="E6" s="1554"/>
      <c r="F6" s="1555">
        <f aca="true" t="shared" si="0" ref="F6:F14">SUM(B6:E6)</f>
        <v>0</v>
      </c>
      <c r="G6" s="101"/>
      <c r="H6" s="96"/>
      <c r="I6" s="96"/>
      <c r="J6" s="96"/>
      <c r="K6" s="1556"/>
      <c r="L6" s="101"/>
      <c r="M6" s="96"/>
      <c r="N6" s="96"/>
      <c r="O6" s="96"/>
      <c r="P6" s="98"/>
      <c r="Q6" s="95"/>
      <c r="R6" s="96"/>
      <c r="S6" s="96"/>
      <c r="T6" s="96"/>
      <c r="U6" s="98"/>
      <c r="V6" s="95"/>
      <c r="W6" s="96"/>
      <c r="X6" s="96"/>
      <c r="Y6" s="96"/>
      <c r="Z6" s="98"/>
      <c r="AA6" s="95">
        <v>500</v>
      </c>
      <c r="AB6" s="1539"/>
      <c r="AC6" s="96">
        <v>32.58</v>
      </c>
      <c r="AD6" s="96"/>
      <c r="AE6" s="1540">
        <v>37.58</v>
      </c>
      <c r="AF6" s="1557">
        <v>25</v>
      </c>
      <c r="AG6" s="1558"/>
      <c r="AH6" s="1558"/>
      <c r="AI6" s="1558"/>
      <c r="AJ6" s="1537">
        <v>25</v>
      </c>
      <c r="AK6" s="101"/>
      <c r="AL6" s="96"/>
      <c r="AM6" s="96"/>
      <c r="AN6" s="96"/>
      <c r="AO6" s="98"/>
      <c r="AP6" s="95">
        <v>35</v>
      </c>
      <c r="AQ6" s="96"/>
      <c r="AR6" s="96"/>
      <c r="AS6" s="96"/>
      <c r="AT6" s="97">
        <v>35</v>
      </c>
      <c r="AU6" s="95">
        <v>26.95</v>
      </c>
      <c r="AV6" s="96"/>
      <c r="AW6" s="96"/>
      <c r="AX6" s="96"/>
      <c r="AY6" s="96">
        <v>26.95</v>
      </c>
      <c r="AZ6" s="96"/>
      <c r="BA6" s="1552"/>
      <c r="BB6" s="96"/>
      <c r="BC6" s="96"/>
      <c r="BD6" s="97"/>
      <c r="BE6" s="95"/>
      <c r="BF6" s="96"/>
      <c r="BG6" s="96"/>
      <c r="BH6" s="96"/>
      <c r="BI6" s="98"/>
      <c r="BJ6" s="1559"/>
      <c r="BK6" s="1560"/>
      <c r="BL6" s="1560"/>
      <c r="BM6" s="1560"/>
      <c r="BN6" s="1556"/>
      <c r="BO6" s="95">
        <v>80.48</v>
      </c>
      <c r="BP6" s="96"/>
      <c r="BQ6" s="96"/>
      <c r="BR6" s="96">
        <v>55</v>
      </c>
      <c r="BS6" s="98">
        <v>135.49</v>
      </c>
      <c r="BT6" s="101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1545"/>
      <c r="CI6" s="95"/>
      <c r="CJ6" s="96"/>
      <c r="CK6" s="96"/>
      <c r="CL6" s="96"/>
      <c r="CM6" s="98"/>
      <c r="CN6" s="1561"/>
      <c r="CO6" s="96"/>
      <c r="CP6" s="96"/>
      <c r="CQ6" s="96"/>
      <c r="CR6" s="98"/>
      <c r="CS6" s="101"/>
      <c r="CT6" s="96"/>
      <c r="CU6" s="1562"/>
      <c r="CV6" s="1562"/>
      <c r="CW6" s="1563"/>
      <c r="CX6" s="103"/>
      <c r="CY6" s="104"/>
      <c r="CZ6" s="104"/>
      <c r="DA6" s="104"/>
      <c r="DB6" s="105"/>
      <c r="DC6" s="110">
        <v>44</v>
      </c>
      <c r="DD6" s="107"/>
      <c r="DE6" s="107"/>
      <c r="DF6" s="107"/>
      <c r="DG6" s="1076">
        <v>44</v>
      </c>
      <c r="DH6" s="95"/>
      <c r="DI6" s="96"/>
      <c r="DJ6" s="96"/>
      <c r="DK6" s="96"/>
      <c r="DL6" s="1556"/>
      <c r="DM6" s="110"/>
      <c r="DN6" s="107"/>
      <c r="DO6" s="107"/>
      <c r="DP6" s="107"/>
      <c r="DQ6" s="108"/>
      <c r="DR6" s="1552"/>
      <c r="DS6" s="1552"/>
      <c r="DT6" s="1552"/>
      <c r="DU6" s="1552"/>
    </row>
    <row r="7" spans="1:125" ht="15">
      <c r="A7" s="927" t="s">
        <v>253</v>
      </c>
      <c r="B7" s="1553"/>
      <c r="C7" s="1554"/>
      <c r="D7" s="1554"/>
      <c r="E7" s="1554"/>
      <c r="F7" s="1555">
        <f t="shared" si="0"/>
        <v>0</v>
      </c>
      <c r="G7" s="101"/>
      <c r="H7" s="96"/>
      <c r="I7" s="96"/>
      <c r="J7" s="96"/>
      <c r="K7" s="1556"/>
      <c r="L7" s="101"/>
      <c r="M7" s="96"/>
      <c r="N7" s="96"/>
      <c r="O7" s="96"/>
      <c r="P7" s="98"/>
      <c r="Q7" s="95"/>
      <c r="R7" s="96"/>
      <c r="S7" s="96"/>
      <c r="T7" s="96"/>
      <c r="U7" s="98"/>
      <c r="V7" s="95"/>
      <c r="W7" s="96"/>
      <c r="X7" s="96"/>
      <c r="Y7" s="96"/>
      <c r="Z7" s="98"/>
      <c r="AA7" s="1564">
        <v>0.0029</v>
      </c>
      <c r="AB7" s="1539"/>
      <c r="AC7" s="1565">
        <v>1</v>
      </c>
      <c r="AD7" s="96"/>
      <c r="AE7" s="1566">
        <v>0.0091</v>
      </c>
      <c r="AF7" s="1564">
        <v>0.0252</v>
      </c>
      <c r="AG7" s="1565"/>
      <c r="AH7" s="1565"/>
      <c r="AI7" s="1565"/>
      <c r="AJ7" s="1567">
        <v>0.0094</v>
      </c>
      <c r="AK7" s="101"/>
      <c r="AL7" s="96"/>
      <c r="AM7" s="96"/>
      <c r="AN7" s="96"/>
      <c r="AO7" s="98"/>
      <c r="AP7" s="95">
        <v>2</v>
      </c>
      <c r="AQ7" s="96"/>
      <c r="AR7" s="96"/>
      <c r="AS7" s="96"/>
      <c r="AT7" s="97"/>
      <c r="AU7" s="95">
        <v>0.0433</v>
      </c>
      <c r="AV7" s="96"/>
      <c r="AW7" s="96"/>
      <c r="AX7" s="96"/>
      <c r="AY7" s="1565">
        <v>0.0449</v>
      </c>
      <c r="AZ7" s="1565"/>
      <c r="BA7" s="1565"/>
      <c r="BB7" s="1565"/>
      <c r="BC7" s="1565"/>
      <c r="BD7" s="1568"/>
      <c r="BE7" s="95"/>
      <c r="BF7" s="96"/>
      <c r="BG7" s="96"/>
      <c r="BH7" s="96"/>
      <c r="BI7" s="98"/>
      <c r="BJ7" s="1569"/>
      <c r="BK7" s="1570"/>
      <c r="BL7" s="1570"/>
      <c r="BM7" s="1570"/>
      <c r="BN7" s="1571"/>
      <c r="BO7" s="95">
        <f>BO6/BO5%</f>
        <v>4.714704159343878</v>
      </c>
      <c r="BP7" s="96"/>
      <c r="BQ7" s="96"/>
      <c r="BR7" s="96">
        <v>10.91</v>
      </c>
      <c r="BS7" s="98">
        <v>6.05</v>
      </c>
      <c r="BT7" s="101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1545"/>
      <c r="CI7" s="95"/>
      <c r="CJ7" s="96"/>
      <c r="CK7" s="96"/>
      <c r="CL7" s="96"/>
      <c r="CM7" s="98"/>
      <c r="CN7" s="1561"/>
      <c r="CO7" s="96"/>
      <c r="CP7" s="96"/>
      <c r="CQ7" s="96"/>
      <c r="CR7" s="98"/>
      <c r="CS7" s="101"/>
      <c r="CT7" s="96"/>
      <c r="CU7" s="1562"/>
      <c r="CV7" s="1562"/>
      <c r="CW7" s="1563"/>
      <c r="CX7" s="103"/>
      <c r="CY7" s="104"/>
      <c r="CZ7" s="104"/>
      <c r="DA7" s="104"/>
      <c r="DB7" s="105"/>
      <c r="DC7" s="110">
        <v>0.0474</v>
      </c>
      <c r="DD7" s="107"/>
      <c r="DE7" s="107"/>
      <c r="DF7" s="107"/>
      <c r="DG7" s="1076">
        <v>0.0099</v>
      </c>
      <c r="DH7" s="95"/>
      <c r="DI7" s="96"/>
      <c r="DJ7" s="96"/>
      <c r="DK7" s="96"/>
      <c r="DL7" s="1556"/>
      <c r="DM7" s="110"/>
      <c r="DN7" s="107"/>
      <c r="DO7" s="107"/>
      <c r="DP7" s="107"/>
      <c r="DQ7" s="108"/>
      <c r="DR7" s="1552"/>
      <c r="DS7" s="1552"/>
      <c r="DT7" s="1552"/>
      <c r="DU7" s="1552"/>
    </row>
    <row r="8" spans="1:125" ht="15">
      <c r="A8" s="927" t="s">
        <v>217</v>
      </c>
      <c r="B8" s="1553"/>
      <c r="C8" s="1554"/>
      <c r="D8" s="1554"/>
      <c r="E8" s="1554"/>
      <c r="F8" s="1555">
        <f t="shared" si="0"/>
        <v>0</v>
      </c>
      <c r="G8" s="101"/>
      <c r="H8" s="96"/>
      <c r="I8" s="96"/>
      <c r="J8" s="96"/>
      <c r="K8" s="1556"/>
      <c r="L8" s="101"/>
      <c r="M8" s="96"/>
      <c r="N8" s="96"/>
      <c r="O8" s="96"/>
      <c r="P8" s="98"/>
      <c r="Q8" s="95"/>
      <c r="R8" s="96"/>
      <c r="S8" s="96"/>
      <c r="T8" s="96"/>
      <c r="U8" s="98"/>
      <c r="V8" s="95"/>
      <c r="W8" s="96"/>
      <c r="X8" s="96"/>
      <c r="Y8" s="96"/>
      <c r="Z8" s="98"/>
      <c r="AA8" s="95">
        <v>250</v>
      </c>
      <c r="AB8" s="1539"/>
      <c r="AC8" s="96">
        <v>15.08</v>
      </c>
      <c r="AD8" s="96"/>
      <c r="AE8" s="1540">
        <v>17.58</v>
      </c>
      <c r="AF8" s="95"/>
      <c r="AG8" s="96"/>
      <c r="AH8" s="96"/>
      <c r="AI8" s="96"/>
      <c r="AJ8" s="1556"/>
      <c r="AK8" s="101"/>
      <c r="AL8" s="96"/>
      <c r="AM8" s="96"/>
      <c r="AN8" s="96"/>
      <c r="AO8" s="98"/>
      <c r="AP8" s="95">
        <v>8.75</v>
      </c>
      <c r="AQ8" s="96"/>
      <c r="AR8" s="96"/>
      <c r="AS8" s="96"/>
      <c r="AT8" s="97">
        <v>8.75</v>
      </c>
      <c r="AU8" s="95">
        <v>0.1688</v>
      </c>
      <c r="AV8" s="96"/>
      <c r="AW8" s="96"/>
      <c r="AX8" s="96"/>
      <c r="AY8" s="96">
        <v>4.55</v>
      </c>
      <c r="AZ8" s="96"/>
      <c r="BA8" s="1565"/>
      <c r="BB8" s="96"/>
      <c r="BC8" s="96"/>
      <c r="BD8" s="97"/>
      <c r="BE8" s="95"/>
      <c r="BF8" s="96"/>
      <c r="BG8" s="96"/>
      <c r="BH8" s="96"/>
      <c r="BI8" s="98"/>
      <c r="BJ8" s="1559"/>
      <c r="BK8" s="1560"/>
      <c r="BL8" s="1560"/>
      <c r="BM8" s="1560"/>
      <c r="BN8" s="1556"/>
      <c r="BO8" s="95">
        <v>24.17</v>
      </c>
      <c r="BP8" s="96"/>
      <c r="BQ8" s="96"/>
      <c r="BR8" s="96">
        <v>55</v>
      </c>
      <c r="BS8" s="98">
        <v>79.18</v>
      </c>
      <c r="BT8" s="101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1545"/>
      <c r="CI8" s="95"/>
      <c r="CJ8" s="96"/>
      <c r="CK8" s="96"/>
      <c r="CL8" s="96"/>
      <c r="CM8" s="98"/>
      <c r="CN8" s="1561"/>
      <c r="CO8" s="96"/>
      <c r="CP8" s="96"/>
      <c r="CQ8" s="96"/>
      <c r="CR8" s="98"/>
      <c r="CS8" s="101"/>
      <c r="CT8" s="96"/>
      <c r="CU8" s="1562"/>
      <c r="CV8" s="1562"/>
      <c r="CW8" s="1563"/>
      <c r="CX8" s="103"/>
      <c r="CY8" s="104"/>
      <c r="CZ8" s="104"/>
      <c r="DA8" s="104"/>
      <c r="DB8" s="105"/>
      <c r="DC8" s="110">
        <v>22</v>
      </c>
      <c r="DD8" s="107"/>
      <c r="DE8" s="107"/>
      <c r="DF8" s="107"/>
      <c r="DG8" s="1076">
        <v>22</v>
      </c>
      <c r="DH8" s="95"/>
      <c r="DI8" s="96"/>
      <c r="DJ8" s="96"/>
      <c r="DK8" s="96"/>
      <c r="DL8" s="1556"/>
      <c r="DM8" s="110"/>
      <c r="DN8" s="107"/>
      <c r="DO8" s="107"/>
      <c r="DP8" s="107"/>
      <c r="DQ8" s="108"/>
      <c r="DR8" s="1552"/>
      <c r="DS8" s="1552"/>
      <c r="DT8" s="1552"/>
      <c r="DU8" s="1552"/>
    </row>
    <row r="9" spans="1:125" ht="15">
      <c r="A9" s="927" t="s">
        <v>254</v>
      </c>
      <c r="B9" s="1553"/>
      <c r="C9" s="1554"/>
      <c r="D9" s="1554"/>
      <c r="E9" s="1554"/>
      <c r="F9" s="1555">
        <f t="shared" si="0"/>
        <v>0</v>
      </c>
      <c r="G9" s="101"/>
      <c r="H9" s="96"/>
      <c r="I9" s="96"/>
      <c r="J9" s="96"/>
      <c r="K9" s="1556"/>
      <c r="L9" s="101"/>
      <c r="M9" s="96"/>
      <c r="N9" s="96"/>
      <c r="O9" s="96"/>
      <c r="P9" s="98"/>
      <c r="Q9" s="95"/>
      <c r="R9" s="96"/>
      <c r="S9" s="96"/>
      <c r="T9" s="96"/>
      <c r="U9" s="98"/>
      <c r="V9" s="95"/>
      <c r="W9" s="96"/>
      <c r="X9" s="96"/>
      <c r="Y9" s="96"/>
      <c r="Z9" s="98"/>
      <c r="AA9" s="1564">
        <v>0.5</v>
      </c>
      <c r="AB9" s="1539"/>
      <c r="AC9" s="1565">
        <v>0.4628</v>
      </c>
      <c r="AD9" s="96"/>
      <c r="AE9" s="1566">
        <v>0.4677</v>
      </c>
      <c r="AF9" s="95"/>
      <c r="AG9" s="96"/>
      <c r="AH9" s="96"/>
      <c r="AI9" s="96"/>
      <c r="AJ9" s="1556"/>
      <c r="AK9" s="101"/>
      <c r="AL9" s="96"/>
      <c r="AM9" s="96"/>
      <c r="AN9" s="96"/>
      <c r="AO9" s="98"/>
      <c r="AP9" s="95">
        <v>25</v>
      </c>
      <c r="AQ9" s="96"/>
      <c r="AR9" s="96"/>
      <c r="AS9" s="96"/>
      <c r="AT9" s="97">
        <v>25</v>
      </c>
      <c r="AU9" s="95"/>
      <c r="AV9" s="96"/>
      <c r="AW9" s="96"/>
      <c r="AX9" s="96"/>
      <c r="AY9" s="1565">
        <v>0.1688</v>
      </c>
      <c r="AZ9" s="1565"/>
      <c r="BA9" s="1565"/>
      <c r="BB9" s="1565"/>
      <c r="BC9" s="1565"/>
      <c r="BD9" s="1568"/>
      <c r="BE9" s="95"/>
      <c r="BF9" s="96"/>
      <c r="BG9" s="96"/>
      <c r="BH9" s="96"/>
      <c r="BI9" s="98"/>
      <c r="BJ9" s="1559"/>
      <c r="BK9" s="1560"/>
      <c r="BL9" s="1560"/>
      <c r="BM9" s="1560"/>
      <c r="BN9" s="1556"/>
      <c r="BO9" s="95">
        <v>30.03</v>
      </c>
      <c r="BP9" s="96"/>
      <c r="BQ9" s="96"/>
      <c r="BR9" s="96">
        <v>10</v>
      </c>
      <c r="BS9" s="98">
        <v>58.53</v>
      </c>
      <c r="BT9" s="101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1545"/>
      <c r="CI9" s="95"/>
      <c r="CJ9" s="96"/>
      <c r="CK9" s="96"/>
      <c r="CL9" s="96"/>
      <c r="CM9" s="98"/>
      <c r="CN9" s="1561"/>
      <c r="CO9" s="96"/>
      <c r="CP9" s="96"/>
      <c r="CQ9" s="96"/>
      <c r="CR9" s="98"/>
      <c r="CS9" s="101"/>
      <c r="CT9" s="96"/>
      <c r="CU9" s="1562"/>
      <c r="CV9" s="1562"/>
      <c r="CW9" s="1563"/>
      <c r="CX9" s="103"/>
      <c r="CY9" s="104"/>
      <c r="CZ9" s="104"/>
      <c r="DA9" s="104"/>
      <c r="DB9" s="105"/>
      <c r="DC9" s="110">
        <v>50</v>
      </c>
      <c r="DD9" s="107"/>
      <c r="DE9" s="107"/>
      <c r="DF9" s="107"/>
      <c r="DG9" s="1076">
        <v>50</v>
      </c>
      <c r="DH9" s="95"/>
      <c r="DI9" s="96"/>
      <c r="DJ9" s="96"/>
      <c r="DK9" s="96"/>
      <c r="DL9" s="1556"/>
      <c r="DM9" s="110"/>
      <c r="DN9" s="107"/>
      <c r="DO9" s="107"/>
      <c r="DP9" s="107"/>
      <c r="DQ9" s="108"/>
      <c r="DR9" s="1552"/>
      <c r="DS9" s="1552"/>
      <c r="DT9" s="1552"/>
      <c r="DU9" s="1552"/>
    </row>
    <row r="10" spans="1:125" ht="15">
      <c r="A10" s="927" t="s">
        <v>218</v>
      </c>
      <c r="B10" s="1553"/>
      <c r="C10" s="1554"/>
      <c r="D10" s="1554"/>
      <c r="E10" s="1554"/>
      <c r="F10" s="1555">
        <f t="shared" si="0"/>
        <v>0</v>
      </c>
      <c r="G10" s="101"/>
      <c r="H10" s="96"/>
      <c r="I10" s="96"/>
      <c r="J10" s="96"/>
      <c r="K10" s="1556"/>
      <c r="L10" s="101"/>
      <c r="M10" s="96"/>
      <c r="N10" s="96"/>
      <c r="O10" s="96"/>
      <c r="P10" s="98"/>
      <c r="Q10" s="95"/>
      <c r="R10" s="96"/>
      <c r="S10" s="96"/>
      <c r="T10" s="96"/>
      <c r="U10" s="98"/>
      <c r="V10" s="95"/>
      <c r="W10" s="96"/>
      <c r="X10" s="96"/>
      <c r="Y10" s="96"/>
      <c r="Z10" s="98"/>
      <c r="AA10" s="95"/>
      <c r="AB10" s="1539"/>
      <c r="AC10" s="96"/>
      <c r="AD10" s="96"/>
      <c r="AE10" s="1540">
        <f>SUM(AA10:AD10)</f>
        <v>0</v>
      </c>
      <c r="AF10" s="95"/>
      <c r="AG10" s="96"/>
      <c r="AH10" s="96"/>
      <c r="AI10" s="96"/>
      <c r="AJ10" s="1556"/>
      <c r="AK10" s="101"/>
      <c r="AL10" s="96"/>
      <c r="AM10" s="96"/>
      <c r="AN10" s="96"/>
      <c r="AO10" s="98"/>
      <c r="AP10" s="95"/>
      <c r="AQ10" s="96"/>
      <c r="AR10" s="96"/>
      <c r="AS10" s="96"/>
      <c r="AT10" s="97"/>
      <c r="AU10" s="95"/>
      <c r="AV10" s="96"/>
      <c r="AW10" s="96"/>
      <c r="AX10" s="96"/>
      <c r="AY10" s="96"/>
      <c r="AZ10" s="96"/>
      <c r="BA10" s="1565"/>
      <c r="BB10" s="96"/>
      <c r="BC10" s="96"/>
      <c r="BD10" s="97"/>
      <c r="BE10" s="95"/>
      <c r="BF10" s="96"/>
      <c r="BG10" s="96"/>
      <c r="BH10" s="96"/>
      <c r="BI10" s="98"/>
      <c r="BJ10" s="1559"/>
      <c r="BK10" s="1560"/>
      <c r="BL10" s="1560"/>
      <c r="BM10" s="1560"/>
      <c r="BN10" s="1556"/>
      <c r="BO10" s="95"/>
      <c r="BP10" s="96"/>
      <c r="BQ10" s="96"/>
      <c r="BR10" s="96"/>
      <c r="BS10" s="98"/>
      <c r="BT10" s="1572"/>
      <c r="BU10" s="1573"/>
      <c r="BV10" s="1573"/>
      <c r="BW10" s="1573"/>
      <c r="BX10" s="1573"/>
      <c r="BY10" s="96"/>
      <c r="BZ10" s="96"/>
      <c r="CA10" s="96"/>
      <c r="CB10" s="96"/>
      <c r="CC10" s="96"/>
      <c r="CD10" s="96"/>
      <c r="CE10" s="96"/>
      <c r="CF10" s="96"/>
      <c r="CG10" s="96"/>
      <c r="CH10" s="1545"/>
      <c r="CI10" s="95"/>
      <c r="CJ10" s="96"/>
      <c r="CK10" s="96"/>
      <c r="CL10" s="96"/>
      <c r="CM10" s="98"/>
      <c r="CN10" s="1561"/>
      <c r="CO10" s="96"/>
      <c r="CP10" s="96"/>
      <c r="CQ10" s="96"/>
      <c r="CR10" s="98"/>
      <c r="CS10" s="101"/>
      <c r="CT10" s="1562"/>
      <c r="CU10" s="1562"/>
      <c r="CV10" s="1562"/>
      <c r="CW10" s="1563"/>
      <c r="CX10" s="103"/>
      <c r="CY10" s="104"/>
      <c r="CZ10" s="104"/>
      <c r="DA10" s="104"/>
      <c r="DB10" s="105"/>
      <c r="DC10" s="110"/>
      <c r="DD10" s="107"/>
      <c r="DE10" s="107"/>
      <c r="DF10" s="107"/>
      <c r="DG10" s="1076"/>
      <c r="DH10" s="95"/>
      <c r="DI10" s="96"/>
      <c r="DJ10" s="96"/>
      <c r="DK10" s="96"/>
      <c r="DL10" s="1556"/>
      <c r="DM10" s="95"/>
      <c r="DN10" s="96"/>
      <c r="DO10" s="96"/>
      <c r="DP10" s="96"/>
      <c r="DQ10" s="98"/>
      <c r="DR10" s="1552"/>
      <c r="DS10" s="1552"/>
      <c r="DT10" s="1552"/>
      <c r="DU10" s="1552"/>
    </row>
    <row r="11" spans="1:125" s="126" customFormat="1" ht="15">
      <c r="A11" s="927" t="s">
        <v>255</v>
      </c>
      <c r="B11" s="1553">
        <f>B5</f>
        <v>4058.44</v>
      </c>
      <c r="C11" s="1554">
        <f>C5</f>
        <v>26.86</v>
      </c>
      <c r="D11" s="1554">
        <f>D5</f>
        <v>0</v>
      </c>
      <c r="E11" s="1554">
        <f>E5</f>
        <v>7185.28</v>
      </c>
      <c r="F11" s="1555">
        <f t="shared" si="0"/>
        <v>11270.58</v>
      </c>
      <c r="G11" s="101"/>
      <c r="H11" s="96"/>
      <c r="I11" s="96"/>
      <c r="J11" s="96"/>
      <c r="K11" s="1556"/>
      <c r="L11" s="101"/>
      <c r="M11" s="95"/>
      <c r="N11" s="95"/>
      <c r="O11" s="95"/>
      <c r="P11" s="95"/>
      <c r="Q11" s="95"/>
      <c r="R11" s="95">
        <f aca="true" t="shared" si="1" ref="R11:Z11">R5</f>
        <v>12.5</v>
      </c>
      <c r="S11" s="95">
        <f t="shared" si="1"/>
        <v>1819.79</v>
      </c>
      <c r="T11" s="95">
        <f t="shared" si="1"/>
        <v>18096.34</v>
      </c>
      <c r="U11" s="95">
        <f t="shared" si="1"/>
        <v>27342.5</v>
      </c>
      <c r="V11" s="95">
        <f t="shared" si="1"/>
        <v>1445.15</v>
      </c>
      <c r="W11" s="95">
        <f t="shared" si="1"/>
        <v>0</v>
      </c>
      <c r="X11" s="95">
        <f t="shared" si="1"/>
        <v>80.25</v>
      </c>
      <c r="Y11" s="95">
        <f t="shared" si="1"/>
        <v>2988.53</v>
      </c>
      <c r="Z11" s="95">
        <f t="shared" si="1"/>
        <v>4513.93</v>
      </c>
      <c r="AA11" s="95">
        <v>1734.55</v>
      </c>
      <c r="AB11" s="1539"/>
      <c r="AC11" s="95">
        <v>1750</v>
      </c>
      <c r="AD11" s="95">
        <v>2365.71</v>
      </c>
      <c r="AE11" s="1540">
        <v>4117.76</v>
      </c>
      <c r="AF11" s="95">
        <v>991.94</v>
      </c>
      <c r="AG11" s="96"/>
      <c r="AH11" s="96">
        <v>0.65</v>
      </c>
      <c r="AI11" s="96">
        <f>AI5</f>
        <v>1659.37</v>
      </c>
      <c r="AJ11" s="98">
        <v>2651.96</v>
      </c>
      <c r="AK11" s="101">
        <f>AK5</f>
        <v>3.2</v>
      </c>
      <c r="AL11" s="101">
        <f>AL5</f>
        <v>0</v>
      </c>
      <c r="AM11" s="101">
        <f>AM5</f>
        <v>2.74</v>
      </c>
      <c r="AN11" s="101">
        <f>AN5</f>
        <v>14.4</v>
      </c>
      <c r="AO11" s="101">
        <f>AO5</f>
        <v>20.34</v>
      </c>
      <c r="AP11" s="95">
        <v>2166.87</v>
      </c>
      <c r="AQ11" s="268">
        <f>AQ5</f>
        <v>388.12</v>
      </c>
      <c r="AR11" s="268">
        <f>AR5</f>
        <v>7222.32</v>
      </c>
      <c r="AS11" s="268">
        <f>AS5</f>
        <v>700.85</v>
      </c>
      <c r="AT11" s="268">
        <f>AT5</f>
        <v>10486.91</v>
      </c>
      <c r="AU11" s="95">
        <v>618.06</v>
      </c>
      <c r="AV11" s="95"/>
      <c r="AW11" s="95">
        <f>AW5</f>
        <v>145.96</v>
      </c>
      <c r="AX11" s="95">
        <f>AX5</f>
        <v>1719.74</v>
      </c>
      <c r="AY11" s="95">
        <v>2416.04</v>
      </c>
      <c r="AZ11" s="96">
        <f aca="true" t="shared" si="2" ref="AZ11:BN11">AZ5</f>
        <v>10065.12</v>
      </c>
      <c r="BA11" s="96">
        <f t="shared" si="2"/>
        <v>0</v>
      </c>
      <c r="BB11" s="96">
        <f t="shared" si="2"/>
        <v>860.23</v>
      </c>
      <c r="BC11" s="96">
        <f t="shared" si="2"/>
        <v>28976</v>
      </c>
      <c r="BD11" s="96">
        <f t="shared" si="2"/>
        <v>39901.35</v>
      </c>
      <c r="BE11" s="95">
        <f t="shared" si="2"/>
        <v>10564.82</v>
      </c>
      <c r="BF11" s="95">
        <f t="shared" si="2"/>
        <v>315.51</v>
      </c>
      <c r="BG11" s="95">
        <f t="shared" si="2"/>
        <v>2400.38</v>
      </c>
      <c r="BH11" s="95">
        <f t="shared" si="2"/>
        <v>29941.28</v>
      </c>
      <c r="BI11" s="95">
        <f t="shared" si="2"/>
        <v>43221.99</v>
      </c>
      <c r="BJ11" s="95">
        <f t="shared" si="2"/>
        <v>1571.93</v>
      </c>
      <c r="BK11" s="95">
        <f t="shared" si="2"/>
        <v>4.37</v>
      </c>
      <c r="BL11" s="95">
        <f t="shared" si="2"/>
        <v>617.23</v>
      </c>
      <c r="BM11" s="95">
        <f t="shared" si="2"/>
        <v>3559.89</v>
      </c>
      <c r="BN11" s="95">
        <f t="shared" si="2"/>
        <v>5753.42</v>
      </c>
      <c r="BO11" s="95">
        <v>1682.82</v>
      </c>
      <c r="BP11" s="96"/>
      <c r="BQ11" s="96"/>
      <c r="BR11" s="96">
        <v>449.06</v>
      </c>
      <c r="BS11" s="98">
        <v>2159.16</v>
      </c>
      <c r="BT11" s="101"/>
      <c r="BU11" s="101"/>
      <c r="BV11" s="101"/>
      <c r="BW11" s="101"/>
      <c r="BX11" s="96"/>
      <c r="BY11" s="96"/>
      <c r="BZ11" s="96"/>
      <c r="CA11" s="96"/>
      <c r="CB11" s="96"/>
      <c r="CC11" s="96"/>
      <c r="CD11" s="96">
        <v>6264.27</v>
      </c>
      <c r="CE11" s="96"/>
      <c r="CF11" s="96"/>
      <c r="CG11" s="96">
        <v>8141.1197</v>
      </c>
      <c r="CH11" s="1545">
        <f>SUM(CD11:CG11)</f>
        <v>14405.3897</v>
      </c>
      <c r="CI11" s="95">
        <f>CI5</f>
        <v>3114.94</v>
      </c>
      <c r="CJ11" s="95">
        <f>CJ5</f>
        <v>0</v>
      </c>
      <c r="CK11" s="95">
        <f>CK5</f>
        <v>105.23</v>
      </c>
      <c r="CL11" s="95">
        <f>CL5</f>
        <v>10980.73</v>
      </c>
      <c r="CM11" s="95">
        <f>CM5</f>
        <v>14200.91</v>
      </c>
      <c r="CN11" s="1561"/>
      <c r="CO11" s="96"/>
      <c r="CP11" s="96"/>
      <c r="CQ11" s="96"/>
      <c r="CR11" s="98"/>
      <c r="CS11" s="1574">
        <f aca="true" t="shared" si="3" ref="CS11:DB11">CS5</f>
        <v>12948.28</v>
      </c>
      <c r="CT11" s="1574">
        <f t="shared" si="3"/>
        <v>175.63</v>
      </c>
      <c r="CU11" s="1574">
        <f t="shared" si="3"/>
        <v>2416.15</v>
      </c>
      <c r="CV11" s="1574">
        <f t="shared" si="3"/>
        <v>27464.53</v>
      </c>
      <c r="CW11" s="1574">
        <f t="shared" si="3"/>
        <v>43004.59</v>
      </c>
      <c r="CX11" s="103">
        <f t="shared" si="3"/>
        <v>1019.98</v>
      </c>
      <c r="CY11" s="103">
        <f t="shared" si="3"/>
        <v>0</v>
      </c>
      <c r="CZ11" s="103">
        <f t="shared" si="3"/>
        <v>40.27</v>
      </c>
      <c r="DA11" s="103">
        <f t="shared" si="3"/>
        <v>2196.53</v>
      </c>
      <c r="DB11" s="103">
        <f t="shared" si="3"/>
        <v>3256.78</v>
      </c>
      <c r="DC11" s="110">
        <v>907.21</v>
      </c>
      <c r="DD11" s="106"/>
      <c r="DE11" s="106">
        <f>DE5</f>
        <v>225.7</v>
      </c>
      <c r="DF11" s="106">
        <f>DF5</f>
        <v>3287.33</v>
      </c>
      <c r="DG11" s="1575">
        <v>4420.23</v>
      </c>
      <c r="DH11" s="95"/>
      <c r="DI11" s="96"/>
      <c r="DJ11" s="96"/>
      <c r="DK11" s="96"/>
      <c r="DL11" s="1556"/>
      <c r="DM11" s="110"/>
      <c r="DN11" s="107"/>
      <c r="DO11" s="107"/>
      <c r="DP11" s="107"/>
      <c r="DQ11" s="108"/>
      <c r="DR11" s="1552"/>
      <c r="DS11" s="1552"/>
      <c r="DT11" s="1552"/>
      <c r="DU11" s="1552"/>
    </row>
    <row r="12" spans="1:125" ht="15">
      <c r="A12" s="927" t="s">
        <v>256</v>
      </c>
      <c r="B12" s="1553"/>
      <c r="C12" s="1554"/>
      <c r="D12" s="1554"/>
      <c r="E12" s="1554"/>
      <c r="F12" s="1555">
        <f t="shared" si="0"/>
        <v>0</v>
      </c>
      <c r="G12" s="101"/>
      <c r="H12" s="96"/>
      <c r="I12" s="96"/>
      <c r="J12" s="96"/>
      <c r="K12" s="1556"/>
      <c r="L12" s="101"/>
      <c r="M12" s="96"/>
      <c r="N12" s="96"/>
      <c r="O12" s="96"/>
      <c r="P12" s="98"/>
      <c r="Q12" s="95"/>
      <c r="R12" s="95"/>
      <c r="S12" s="95"/>
      <c r="T12" s="95"/>
      <c r="U12" s="95"/>
      <c r="V12" s="95"/>
      <c r="W12" s="96"/>
      <c r="X12" s="96"/>
      <c r="Y12" s="96"/>
      <c r="Z12" s="98"/>
      <c r="AA12" s="95">
        <v>250</v>
      </c>
      <c r="AB12" s="1539"/>
      <c r="AC12" s="96">
        <v>1750</v>
      </c>
      <c r="AD12" s="96"/>
      <c r="AE12" s="1540">
        <f>SUM(AA12:AD12)</f>
        <v>2000</v>
      </c>
      <c r="AF12" s="95">
        <v>25</v>
      </c>
      <c r="AG12" s="96"/>
      <c r="AH12" s="96"/>
      <c r="AI12" s="96"/>
      <c r="AJ12" s="1555">
        <v>25</v>
      </c>
      <c r="AK12" s="101"/>
      <c r="AL12" s="96"/>
      <c r="AM12" s="96"/>
      <c r="AN12" s="96"/>
      <c r="AO12" s="98"/>
      <c r="AP12" s="95">
        <v>26.25</v>
      </c>
      <c r="AQ12" s="96"/>
      <c r="AR12" s="96"/>
      <c r="AS12" s="96"/>
      <c r="AT12" s="97">
        <v>26.25</v>
      </c>
      <c r="AU12" s="95">
        <v>22.4</v>
      </c>
      <c r="AV12" s="96"/>
      <c r="AW12" s="96"/>
      <c r="AX12" s="96"/>
      <c r="AY12" s="96">
        <v>22.4</v>
      </c>
      <c r="AZ12" s="96"/>
      <c r="BA12" s="1565"/>
      <c r="BB12" s="96"/>
      <c r="BC12" s="96"/>
      <c r="BD12" s="97"/>
      <c r="BE12" s="95"/>
      <c r="BF12" s="96"/>
      <c r="BG12" s="96"/>
      <c r="BH12" s="96"/>
      <c r="BI12" s="98"/>
      <c r="BJ12" s="95"/>
      <c r="BK12" s="96"/>
      <c r="BL12" s="96"/>
      <c r="BM12" s="96"/>
      <c r="BN12" s="98"/>
      <c r="BO12" s="95">
        <v>56.31</v>
      </c>
      <c r="BP12" s="96"/>
      <c r="BQ12" s="96"/>
      <c r="BR12" s="96"/>
      <c r="BS12" s="98">
        <v>56.31</v>
      </c>
      <c r="BT12" s="101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7"/>
      <c r="CI12" s="95"/>
      <c r="CJ12" s="96"/>
      <c r="CK12" s="96"/>
      <c r="CL12" s="96"/>
      <c r="CM12" s="98"/>
      <c r="CN12" s="1561"/>
      <c r="CO12" s="96"/>
      <c r="CP12" s="96"/>
      <c r="CQ12" s="96"/>
      <c r="CR12" s="98"/>
      <c r="CS12" s="1576"/>
      <c r="CT12" s="1577"/>
      <c r="CU12" s="1577"/>
      <c r="CV12" s="1577"/>
      <c r="CW12" s="1578"/>
      <c r="CX12" s="103"/>
      <c r="CY12" s="104"/>
      <c r="CZ12" s="104"/>
      <c r="DA12" s="104"/>
      <c r="DB12" s="105"/>
      <c r="DC12" s="110">
        <v>22</v>
      </c>
      <c r="DD12" s="107"/>
      <c r="DE12" s="107"/>
      <c r="DF12" s="107"/>
      <c r="DG12" s="1076">
        <v>22</v>
      </c>
      <c r="DH12" s="95"/>
      <c r="DI12" s="96"/>
      <c r="DJ12" s="96"/>
      <c r="DK12" s="96"/>
      <c r="DL12" s="1556">
        <v>0</v>
      </c>
      <c r="DM12" s="110"/>
      <c r="DN12" s="107"/>
      <c r="DO12" s="107"/>
      <c r="DP12" s="107"/>
      <c r="DQ12" s="108"/>
      <c r="DR12" s="1552"/>
      <c r="DS12" s="1552"/>
      <c r="DT12" s="1552"/>
      <c r="DU12" s="1552"/>
    </row>
    <row r="13" spans="1:125" ht="15">
      <c r="A13" s="927" t="s">
        <v>257</v>
      </c>
      <c r="B13" s="1553"/>
      <c r="C13" s="1554"/>
      <c r="D13" s="1554"/>
      <c r="E13" s="1554"/>
      <c r="F13" s="1555">
        <f t="shared" si="0"/>
        <v>0</v>
      </c>
      <c r="G13" s="101"/>
      <c r="H13" s="96"/>
      <c r="I13" s="96"/>
      <c r="J13" s="96"/>
      <c r="K13" s="1556"/>
      <c r="L13" s="101"/>
      <c r="M13" s="96"/>
      <c r="N13" s="96"/>
      <c r="O13" s="96"/>
      <c r="P13" s="98"/>
      <c r="Q13" s="95"/>
      <c r="R13" s="96"/>
      <c r="S13" s="96"/>
      <c r="T13" s="96"/>
      <c r="U13" s="98"/>
      <c r="V13" s="95"/>
      <c r="W13" s="96"/>
      <c r="X13" s="96"/>
      <c r="Y13" s="96"/>
      <c r="Z13" s="98"/>
      <c r="AA13" s="1564">
        <v>0.0014</v>
      </c>
      <c r="AB13" s="1539"/>
      <c r="AC13" s="1565">
        <v>1</v>
      </c>
      <c r="AD13" s="96"/>
      <c r="AE13" s="1566">
        <v>0.0049</v>
      </c>
      <c r="AF13" s="1564">
        <v>0.0252</v>
      </c>
      <c r="AG13" s="1565"/>
      <c r="AH13" s="1565"/>
      <c r="AI13" s="1565"/>
      <c r="AJ13" s="1567">
        <v>0.0094</v>
      </c>
      <c r="AK13" s="101"/>
      <c r="AL13" s="96"/>
      <c r="AM13" s="96"/>
      <c r="AN13" s="96"/>
      <c r="AO13" s="98"/>
      <c r="AP13" s="95">
        <v>1</v>
      </c>
      <c r="AQ13" s="96"/>
      <c r="AR13" s="96"/>
      <c r="AS13" s="96"/>
      <c r="AT13" s="97"/>
      <c r="AU13" s="95">
        <v>0.0362</v>
      </c>
      <c r="AV13" s="96"/>
      <c r="AW13" s="96"/>
      <c r="AX13" s="96"/>
      <c r="AY13" s="1565">
        <v>0.0376</v>
      </c>
      <c r="AZ13" s="1565"/>
      <c r="BA13" s="1565"/>
      <c r="BB13" s="1565"/>
      <c r="BC13" s="1565"/>
      <c r="BD13" s="1568"/>
      <c r="BE13" s="95"/>
      <c r="BF13" s="96"/>
      <c r="BG13" s="96"/>
      <c r="BH13" s="96"/>
      <c r="BI13" s="98"/>
      <c r="BJ13" s="1564"/>
      <c r="BK13" s="1565"/>
      <c r="BL13" s="1565"/>
      <c r="BM13" s="1565"/>
      <c r="BN13" s="1579"/>
      <c r="BO13" s="95">
        <v>3.34</v>
      </c>
      <c r="BP13" s="96"/>
      <c r="BQ13" s="96"/>
      <c r="BR13" s="96"/>
      <c r="BS13" s="98">
        <v>2.61</v>
      </c>
      <c r="BT13" s="101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7"/>
      <c r="CI13" s="95"/>
      <c r="CJ13" s="96"/>
      <c r="CK13" s="96"/>
      <c r="CL13" s="96"/>
      <c r="CM13" s="98"/>
      <c r="CN13" s="1561"/>
      <c r="CO13" s="96"/>
      <c r="CP13" s="96"/>
      <c r="CQ13" s="96"/>
      <c r="CR13" s="98"/>
      <c r="CS13" s="1576"/>
      <c r="CT13" s="1577"/>
      <c r="CU13" s="1577"/>
      <c r="CV13" s="1577"/>
      <c r="CW13" s="1578"/>
      <c r="CX13" s="103"/>
      <c r="CY13" s="104"/>
      <c r="CZ13" s="104"/>
      <c r="DA13" s="104"/>
      <c r="DB13" s="105"/>
      <c r="DC13" s="110">
        <v>2.43</v>
      </c>
      <c r="DD13" s="107"/>
      <c r="DE13" s="107"/>
      <c r="DF13" s="107"/>
      <c r="DG13" s="1076">
        <v>0.5</v>
      </c>
      <c r="DH13" s="95"/>
      <c r="DI13" s="96"/>
      <c r="DJ13" s="96"/>
      <c r="DK13" s="96"/>
      <c r="DL13" s="1556"/>
      <c r="DM13" s="110"/>
      <c r="DN13" s="107"/>
      <c r="DO13" s="107"/>
      <c r="DP13" s="107"/>
      <c r="DQ13" s="108"/>
      <c r="DR13" s="1552"/>
      <c r="DS13" s="1552"/>
      <c r="DT13" s="1552"/>
      <c r="DU13" s="1552"/>
    </row>
    <row r="14" spans="1:125" ht="15.75" thickBot="1">
      <c r="A14" s="1531" t="s">
        <v>219</v>
      </c>
      <c r="B14" s="1580"/>
      <c r="C14" s="1581"/>
      <c r="D14" s="1581"/>
      <c r="E14" s="1581"/>
      <c r="F14" s="1582">
        <f t="shared" si="0"/>
        <v>0</v>
      </c>
      <c r="G14" s="1583"/>
      <c r="H14" s="1584"/>
      <c r="I14" s="1584"/>
      <c r="J14" s="1584"/>
      <c r="K14" s="1585"/>
      <c r="L14" s="1583"/>
      <c r="M14" s="1584"/>
      <c r="N14" s="1584"/>
      <c r="O14" s="1584"/>
      <c r="P14" s="1586"/>
      <c r="Q14" s="1587"/>
      <c r="R14" s="1584"/>
      <c r="S14" s="1584"/>
      <c r="T14" s="1584"/>
      <c r="U14" s="1586"/>
      <c r="V14" s="1587"/>
      <c r="W14" s="1584"/>
      <c r="X14" s="1584"/>
      <c r="Y14" s="1584"/>
      <c r="Z14" s="1586"/>
      <c r="AA14" s="1587"/>
      <c r="AB14" s="1588"/>
      <c r="AC14" s="1584"/>
      <c r="AD14" s="1584"/>
      <c r="AE14" s="1540"/>
      <c r="AF14" s="1587">
        <v>40.16</v>
      </c>
      <c r="AG14" s="1584"/>
      <c r="AH14" s="1584"/>
      <c r="AI14" s="1584"/>
      <c r="AJ14" s="1585">
        <v>40.16</v>
      </c>
      <c r="AK14" s="1583"/>
      <c r="AL14" s="1584"/>
      <c r="AM14" s="1584"/>
      <c r="AN14" s="1584"/>
      <c r="AO14" s="1586"/>
      <c r="AP14" s="1587"/>
      <c r="AQ14" s="1584"/>
      <c r="AR14" s="1584"/>
      <c r="AS14" s="1584"/>
      <c r="AT14" s="1589"/>
      <c r="AU14" s="1587"/>
      <c r="AV14" s="1584"/>
      <c r="AW14" s="1584"/>
      <c r="AX14" s="1584"/>
      <c r="AY14" s="1584"/>
      <c r="AZ14" s="1584"/>
      <c r="BA14" s="1584"/>
      <c r="BB14" s="1584"/>
      <c r="BC14" s="1584"/>
      <c r="BD14" s="1589"/>
      <c r="BE14" s="1587"/>
      <c r="BF14" s="1584"/>
      <c r="BG14" s="1584"/>
      <c r="BH14" s="1584"/>
      <c r="BI14" s="1586"/>
      <c r="BJ14" s="1587"/>
      <c r="BK14" s="1584"/>
      <c r="BL14" s="1584"/>
      <c r="BM14" s="1584"/>
      <c r="BN14" s="1586"/>
      <c r="BO14" s="1587"/>
      <c r="BP14" s="1584"/>
      <c r="BQ14" s="1584"/>
      <c r="BR14" s="1584"/>
      <c r="BS14" s="1586"/>
      <c r="BT14" s="1583"/>
      <c r="BU14" s="1584"/>
      <c r="BV14" s="1584"/>
      <c r="BW14" s="1584"/>
      <c r="BX14" s="1584"/>
      <c r="BY14" s="1584"/>
      <c r="BZ14" s="1584"/>
      <c r="CA14" s="1584"/>
      <c r="CB14" s="1584"/>
      <c r="CC14" s="1584"/>
      <c r="CD14" s="1584"/>
      <c r="CE14" s="1584"/>
      <c r="CF14" s="1584"/>
      <c r="CG14" s="1584"/>
      <c r="CH14" s="1589"/>
      <c r="CI14" s="1587"/>
      <c r="CJ14" s="1584"/>
      <c r="CK14" s="1584"/>
      <c r="CL14" s="1584"/>
      <c r="CM14" s="1586"/>
      <c r="CN14" s="1590"/>
      <c r="CO14" s="1584"/>
      <c r="CP14" s="1584"/>
      <c r="CQ14" s="1584"/>
      <c r="CR14" s="1586"/>
      <c r="CS14" s="1591"/>
      <c r="CT14" s="1592"/>
      <c r="CU14" s="1592"/>
      <c r="CV14" s="1592"/>
      <c r="CW14" s="1593"/>
      <c r="CX14" s="1594"/>
      <c r="CY14" s="1595"/>
      <c r="CZ14" s="1595"/>
      <c r="DA14" s="1595"/>
      <c r="DB14" s="1596"/>
      <c r="DC14" s="1597"/>
      <c r="DD14" s="1598"/>
      <c r="DE14" s="1598"/>
      <c r="DF14" s="1598"/>
      <c r="DG14" s="1599"/>
      <c r="DH14" s="1587"/>
      <c r="DI14" s="1584"/>
      <c r="DJ14" s="1584"/>
      <c r="DK14" s="1584"/>
      <c r="DL14" s="1585"/>
      <c r="DM14" s="1597"/>
      <c r="DN14" s="1598"/>
      <c r="DO14" s="1598"/>
      <c r="DP14" s="1598"/>
      <c r="DQ14" s="1600"/>
      <c r="DR14" s="1552"/>
      <c r="DS14" s="1552"/>
      <c r="DT14" s="1552"/>
      <c r="DU14" s="1552"/>
    </row>
  </sheetData>
  <sheetProtection/>
  <mergeCells count="27">
    <mergeCell ref="Q3:U3"/>
    <mergeCell ref="V3:Z3"/>
    <mergeCell ref="AK3:AO3"/>
    <mergeCell ref="AA3:AE3"/>
    <mergeCell ref="AF3:AJ3"/>
    <mergeCell ref="BT3:BX3"/>
    <mergeCell ref="BJ3:BN3"/>
    <mergeCell ref="A1:DQ1"/>
    <mergeCell ref="A2:DQ2"/>
    <mergeCell ref="A3:A4"/>
    <mergeCell ref="B3:F3"/>
    <mergeCell ref="G3:K3"/>
    <mergeCell ref="L3:P3"/>
    <mergeCell ref="DM3:DQ3"/>
    <mergeCell ref="CI3:CM3"/>
    <mergeCell ref="CN3:CR3"/>
    <mergeCell ref="BY3:CC3"/>
    <mergeCell ref="CX3:DB3"/>
    <mergeCell ref="AP3:AT3"/>
    <mergeCell ref="AU3:AY3"/>
    <mergeCell ref="AZ3:BD3"/>
    <mergeCell ref="DH3:DL3"/>
    <mergeCell ref="DC3:DG3"/>
    <mergeCell ref="BO3:BS3"/>
    <mergeCell ref="CD3:CH3"/>
    <mergeCell ref="BE3:BI3"/>
    <mergeCell ref="CS3:CW3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W20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7" sqref="G7"/>
    </sheetView>
  </sheetViews>
  <sheetFormatPr defaultColWidth="9.140625" defaultRowHeight="15"/>
  <cols>
    <col min="1" max="1" width="72.421875" style="1824" bestFit="1" customWidth="1"/>
    <col min="2" max="2" width="8.140625" style="1824" customWidth="1"/>
    <col min="3" max="3" width="9.421875" style="1824" customWidth="1"/>
    <col min="4" max="4" width="9.28125" style="1824" customWidth="1"/>
    <col min="5" max="5" width="14.140625" style="1824" bestFit="1" customWidth="1"/>
    <col min="6" max="6" width="8.28125" style="1824" customWidth="1"/>
    <col min="7" max="7" width="9.140625" style="1824" customWidth="1"/>
    <col min="8" max="8" width="8.421875" style="1824" customWidth="1"/>
    <col min="9" max="9" width="10.421875" style="1824" customWidth="1"/>
    <col min="10" max="10" width="9.00390625" style="1824" customWidth="1"/>
    <col min="11" max="11" width="8.421875" style="1824" customWidth="1"/>
    <col min="12" max="12" width="9.8515625" style="1824" customWidth="1"/>
    <col min="13" max="13" width="12.57421875" style="1824" bestFit="1" customWidth="1"/>
    <col min="14" max="14" width="9.8515625" style="1824" customWidth="1"/>
    <col min="15" max="15" width="9.28125" style="1824" customWidth="1"/>
    <col min="16" max="16" width="9.140625" style="1824" customWidth="1"/>
    <col min="17" max="17" width="10.00390625" style="1824" customWidth="1"/>
    <col min="18" max="18" width="8.00390625" style="1824" bestFit="1" customWidth="1"/>
    <col min="19" max="19" width="7.7109375" style="1824" bestFit="1" customWidth="1"/>
    <col min="20" max="20" width="8.8515625" style="1824" customWidth="1"/>
    <col min="21" max="21" width="9.140625" style="1824" customWidth="1"/>
    <col min="22" max="22" width="13.421875" style="1824" customWidth="1"/>
    <col min="23" max="23" width="8.57421875" style="1824" customWidth="1"/>
    <col min="24" max="24" width="10.28125" style="1824" bestFit="1" customWidth="1"/>
    <col min="25" max="25" width="12.00390625" style="1824" customWidth="1"/>
    <col min="26" max="26" width="10.28125" style="1824" bestFit="1" customWidth="1"/>
    <col min="27" max="27" width="6.421875" style="1824" bestFit="1" customWidth="1"/>
    <col min="28" max="28" width="10.28125" style="1824" bestFit="1" customWidth="1"/>
    <col min="29" max="29" width="14.28125" style="1824" bestFit="1" customWidth="1"/>
    <col min="30" max="30" width="8.00390625" style="1824" bestFit="1" customWidth="1"/>
    <col min="31" max="31" width="6.421875" style="1824" bestFit="1" customWidth="1"/>
    <col min="32" max="32" width="7.7109375" style="1824" bestFit="1" customWidth="1"/>
    <col min="33" max="33" width="9.00390625" style="1824" customWidth="1"/>
    <col min="34" max="34" width="10.28125" style="1824" bestFit="1" customWidth="1"/>
    <col min="35" max="35" width="7.7109375" style="1824" bestFit="1" customWidth="1"/>
    <col min="36" max="36" width="9.00390625" style="1824" bestFit="1" customWidth="1"/>
    <col min="37" max="37" width="12.8515625" style="1824" bestFit="1" customWidth="1"/>
    <col min="38" max="38" width="8.00390625" style="1824" customWidth="1"/>
    <col min="39" max="39" width="6.421875" style="1824" bestFit="1" customWidth="1"/>
    <col min="40" max="40" width="9.00390625" style="1824" bestFit="1" customWidth="1"/>
    <col min="41" max="41" width="10.28125" style="1824" bestFit="1" customWidth="1"/>
    <col min="42" max="42" width="12.8515625" style="1824" bestFit="1" customWidth="1"/>
    <col min="43" max="43" width="7.7109375" style="1824" bestFit="1" customWidth="1"/>
    <col min="44" max="44" width="10.28125" style="1824" bestFit="1" customWidth="1"/>
    <col min="45" max="45" width="14.28125" style="1824" bestFit="1" customWidth="1"/>
    <col min="46" max="46" width="10.28125" style="1824" bestFit="1" customWidth="1"/>
    <col min="47" max="47" width="7.7109375" style="1824" bestFit="1" customWidth="1"/>
    <col min="48" max="48" width="7.7109375" style="1824" customWidth="1"/>
    <col min="49" max="49" width="12.8515625" style="1824" bestFit="1" customWidth="1"/>
    <col min="50" max="50" width="7.28125" style="1824" bestFit="1" customWidth="1"/>
    <col min="51" max="51" width="8.00390625" style="1824" customWidth="1"/>
    <col min="52" max="52" width="9.8515625" style="1824" customWidth="1"/>
    <col min="53" max="53" width="9.140625" style="1824" customWidth="1"/>
    <col min="54" max="54" width="11.57421875" style="1824" bestFit="1" customWidth="1"/>
    <col min="55" max="55" width="7.7109375" style="1824" bestFit="1" customWidth="1"/>
    <col min="56" max="56" width="9.00390625" style="1824" bestFit="1" customWidth="1"/>
    <col min="57" max="57" width="14.28125" style="1824" bestFit="1" customWidth="1"/>
    <col min="58" max="58" width="11.57421875" style="1824" bestFit="1" customWidth="1"/>
    <col min="59" max="59" width="8.8515625" style="1824" customWidth="1"/>
    <col min="60" max="60" width="10.28125" style="1824" bestFit="1" customWidth="1"/>
    <col min="61" max="61" width="14.28125" style="1824" bestFit="1" customWidth="1"/>
    <col min="62" max="62" width="7.7109375" style="1824" customWidth="1"/>
    <col min="63" max="64" width="7.7109375" style="1824" bestFit="1" customWidth="1"/>
    <col min="65" max="65" width="10.28125" style="1824" bestFit="1" customWidth="1"/>
    <col min="66" max="66" width="8.8515625" style="1824" customWidth="1"/>
    <col min="67" max="67" width="9.140625" style="1824" customWidth="1"/>
    <col min="68" max="68" width="7.00390625" style="1824" bestFit="1" customWidth="1"/>
    <col min="69" max="69" width="9.140625" style="1824" customWidth="1"/>
    <col min="70" max="70" width="7.28125" style="1824" bestFit="1" customWidth="1"/>
    <col min="71" max="71" width="7.7109375" style="1824" bestFit="1" customWidth="1"/>
    <col min="72" max="72" width="9.00390625" style="1824" bestFit="1" customWidth="1"/>
    <col min="73" max="77" width="9.140625" style="1824" customWidth="1"/>
    <col min="78" max="78" width="8.7109375" style="1824" customWidth="1"/>
    <col min="79" max="79" width="7.7109375" style="1824" bestFit="1" customWidth="1"/>
    <col min="80" max="80" width="9.140625" style="1824" customWidth="1"/>
    <col min="81" max="81" width="11.421875" style="1824" customWidth="1"/>
    <col min="82" max="82" width="10.28125" style="1824" bestFit="1" customWidth="1"/>
    <col min="83" max="83" width="7.57421875" style="1824" customWidth="1"/>
    <col min="84" max="84" width="9.140625" style="1824" customWidth="1"/>
    <col min="85" max="85" width="12.8515625" style="1824" bestFit="1" customWidth="1"/>
    <col min="86" max="86" width="10.28125" style="1824" bestFit="1" customWidth="1"/>
    <col min="87" max="87" width="8.00390625" style="1824" customWidth="1"/>
    <col min="88" max="88" width="9.00390625" style="1824" bestFit="1" customWidth="1"/>
    <col min="89" max="89" width="11.57421875" style="1824" bestFit="1" customWidth="1"/>
    <col min="90" max="90" width="7.7109375" style="1824" bestFit="1" customWidth="1"/>
    <col min="91" max="91" width="9.140625" style="1824" customWidth="1"/>
    <col min="92" max="92" width="9.00390625" style="1824" bestFit="1" customWidth="1"/>
    <col min="93" max="93" width="10.28125" style="1824" bestFit="1" customWidth="1"/>
    <col min="94" max="94" width="14.28125" style="1824" bestFit="1" customWidth="1"/>
    <col min="95" max="96" width="10.28125" style="1824" bestFit="1" customWidth="1"/>
    <col min="97" max="97" width="14.28125" style="1824" bestFit="1" customWidth="1"/>
    <col min="98" max="99" width="10.00390625" style="1824" bestFit="1" customWidth="1"/>
    <col min="100" max="100" width="11.00390625" style="1824" bestFit="1" customWidth="1"/>
    <col min="101" max="101" width="12.7109375" style="1824" customWidth="1"/>
    <col min="102" max="16384" width="9.140625" style="1824" customWidth="1"/>
  </cols>
  <sheetData>
    <row r="1" ht="17.25" thickBot="1">
      <c r="A1" s="1823" t="s">
        <v>639</v>
      </c>
    </row>
    <row r="2" spans="1:101" s="1829" customFormat="1" ht="33.75" customHeight="1" thickBot="1">
      <c r="A2" s="1871" t="s">
        <v>576</v>
      </c>
      <c r="B2" s="2069" t="s">
        <v>187</v>
      </c>
      <c r="C2" s="2070"/>
      <c r="D2" s="2070"/>
      <c r="E2" s="2071"/>
      <c r="F2" s="2072" t="s">
        <v>188</v>
      </c>
      <c r="G2" s="2067"/>
      <c r="H2" s="2067"/>
      <c r="I2" s="2068"/>
      <c r="J2" s="2067" t="s">
        <v>189</v>
      </c>
      <c r="K2" s="2067"/>
      <c r="L2" s="2067"/>
      <c r="M2" s="2068"/>
      <c r="N2" s="2067" t="s">
        <v>190</v>
      </c>
      <c r="O2" s="2067"/>
      <c r="P2" s="2067"/>
      <c r="Q2" s="2068"/>
      <c r="R2" s="2067" t="s">
        <v>191</v>
      </c>
      <c r="S2" s="2067"/>
      <c r="T2" s="2067"/>
      <c r="U2" s="2068"/>
      <c r="V2" s="2067" t="s">
        <v>192</v>
      </c>
      <c r="W2" s="2067"/>
      <c r="X2" s="2067"/>
      <c r="Y2" s="2068"/>
      <c r="Z2" s="2067" t="s">
        <v>570</v>
      </c>
      <c r="AA2" s="2067"/>
      <c r="AB2" s="2067"/>
      <c r="AC2" s="2068"/>
      <c r="AD2" s="2067" t="s">
        <v>194</v>
      </c>
      <c r="AE2" s="2067"/>
      <c r="AF2" s="2067"/>
      <c r="AG2" s="2068"/>
      <c r="AH2" s="2067" t="s">
        <v>411</v>
      </c>
      <c r="AI2" s="2067"/>
      <c r="AJ2" s="2067"/>
      <c r="AK2" s="2068"/>
      <c r="AL2" s="2067" t="s">
        <v>196</v>
      </c>
      <c r="AM2" s="2067"/>
      <c r="AN2" s="2067"/>
      <c r="AO2" s="2068"/>
      <c r="AP2" s="2067" t="s">
        <v>197</v>
      </c>
      <c r="AQ2" s="2067"/>
      <c r="AR2" s="2067"/>
      <c r="AS2" s="2068"/>
      <c r="AT2" s="2067" t="s">
        <v>198</v>
      </c>
      <c r="AU2" s="2067"/>
      <c r="AV2" s="2067"/>
      <c r="AW2" s="2068"/>
      <c r="AX2" s="2067" t="s">
        <v>283</v>
      </c>
      <c r="AY2" s="2067"/>
      <c r="AZ2" s="2067"/>
      <c r="BA2" s="2068"/>
      <c r="BB2" s="2067" t="s">
        <v>200</v>
      </c>
      <c r="BC2" s="2067"/>
      <c r="BD2" s="2067"/>
      <c r="BE2" s="2068"/>
      <c r="BF2" s="2067" t="s">
        <v>201</v>
      </c>
      <c r="BG2" s="2067"/>
      <c r="BH2" s="2067"/>
      <c r="BI2" s="2068"/>
      <c r="BJ2" s="2067" t="s">
        <v>202</v>
      </c>
      <c r="BK2" s="2067"/>
      <c r="BL2" s="2067"/>
      <c r="BM2" s="2068"/>
      <c r="BN2" s="2067" t="s">
        <v>203</v>
      </c>
      <c r="BO2" s="2067"/>
      <c r="BP2" s="2067"/>
      <c r="BQ2" s="2068"/>
      <c r="BR2" s="2067" t="s">
        <v>204</v>
      </c>
      <c r="BS2" s="2067"/>
      <c r="BT2" s="2067"/>
      <c r="BU2" s="2068"/>
      <c r="BV2" s="2067" t="s">
        <v>205</v>
      </c>
      <c r="BW2" s="2067"/>
      <c r="BX2" s="2067"/>
      <c r="BY2" s="2068"/>
      <c r="BZ2" s="2067" t="s">
        <v>206</v>
      </c>
      <c r="CA2" s="2067"/>
      <c r="CB2" s="2067"/>
      <c r="CC2" s="2068"/>
      <c r="CD2" s="2067" t="s">
        <v>207</v>
      </c>
      <c r="CE2" s="2067"/>
      <c r="CF2" s="2067"/>
      <c r="CG2" s="2068"/>
      <c r="CH2" s="2067" t="s">
        <v>208</v>
      </c>
      <c r="CI2" s="2067"/>
      <c r="CJ2" s="2067"/>
      <c r="CK2" s="2068"/>
      <c r="CL2" s="2067" t="s">
        <v>571</v>
      </c>
      <c r="CM2" s="2067"/>
      <c r="CN2" s="2067"/>
      <c r="CO2" s="2068"/>
      <c r="CP2" s="2067" t="s">
        <v>210</v>
      </c>
      <c r="CQ2" s="2067"/>
      <c r="CR2" s="2067"/>
      <c r="CS2" s="2068"/>
      <c r="CT2" s="2067" t="s">
        <v>600</v>
      </c>
      <c r="CU2" s="2067"/>
      <c r="CV2" s="2067"/>
      <c r="CW2" s="2068"/>
    </row>
    <row r="3" spans="1:101" s="1829" customFormat="1" ht="57.75" thickBot="1">
      <c r="A3" s="1868" t="s">
        <v>0</v>
      </c>
      <c r="B3" s="1840" t="s">
        <v>574</v>
      </c>
      <c r="C3" s="1830" t="s">
        <v>423</v>
      </c>
      <c r="D3" s="1830" t="s">
        <v>575</v>
      </c>
      <c r="E3" s="1869" t="s">
        <v>591</v>
      </c>
      <c r="F3" s="1864" t="s">
        <v>574</v>
      </c>
      <c r="G3" s="1853" t="s">
        <v>423</v>
      </c>
      <c r="H3" s="1853" t="s">
        <v>575</v>
      </c>
      <c r="I3" s="1870" t="s">
        <v>591</v>
      </c>
      <c r="J3" s="1852" t="s">
        <v>574</v>
      </c>
      <c r="K3" s="1853" t="s">
        <v>423</v>
      </c>
      <c r="L3" s="1853" t="s">
        <v>575</v>
      </c>
      <c r="M3" s="1870" t="s">
        <v>591</v>
      </c>
      <c r="N3" s="1852" t="s">
        <v>574</v>
      </c>
      <c r="O3" s="1853" t="s">
        <v>423</v>
      </c>
      <c r="P3" s="1853" t="s">
        <v>575</v>
      </c>
      <c r="Q3" s="1870" t="s">
        <v>591</v>
      </c>
      <c r="R3" s="1852" t="s">
        <v>574</v>
      </c>
      <c r="S3" s="1853" t="s">
        <v>423</v>
      </c>
      <c r="T3" s="1853" t="s">
        <v>575</v>
      </c>
      <c r="U3" s="1870" t="s">
        <v>591</v>
      </c>
      <c r="V3" s="1852" t="s">
        <v>574</v>
      </c>
      <c r="W3" s="1853" t="s">
        <v>423</v>
      </c>
      <c r="X3" s="1853" t="s">
        <v>575</v>
      </c>
      <c r="Y3" s="1870" t="s">
        <v>591</v>
      </c>
      <c r="Z3" s="1852" t="s">
        <v>574</v>
      </c>
      <c r="AA3" s="1853" t="s">
        <v>423</v>
      </c>
      <c r="AB3" s="1853" t="s">
        <v>575</v>
      </c>
      <c r="AC3" s="1870" t="s">
        <v>591</v>
      </c>
      <c r="AD3" s="1852" t="s">
        <v>574</v>
      </c>
      <c r="AE3" s="1853" t="s">
        <v>423</v>
      </c>
      <c r="AF3" s="1853" t="s">
        <v>575</v>
      </c>
      <c r="AG3" s="1870" t="s">
        <v>591</v>
      </c>
      <c r="AH3" s="1852" t="s">
        <v>574</v>
      </c>
      <c r="AI3" s="1853" t="s">
        <v>423</v>
      </c>
      <c r="AJ3" s="1853" t="s">
        <v>575</v>
      </c>
      <c r="AK3" s="1870" t="s">
        <v>591</v>
      </c>
      <c r="AL3" s="1852" t="s">
        <v>574</v>
      </c>
      <c r="AM3" s="1853" t="s">
        <v>423</v>
      </c>
      <c r="AN3" s="1853" t="s">
        <v>575</v>
      </c>
      <c r="AO3" s="1870" t="s">
        <v>591</v>
      </c>
      <c r="AP3" s="1852" t="s">
        <v>574</v>
      </c>
      <c r="AQ3" s="1853" t="s">
        <v>423</v>
      </c>
      <c r="AR3" s="1853" t="s">
        <v>575</v>
      </c>
      <c r="AS3" s="1870" t="s">
        <v>591</v>
      </c>
      <c r="AT3" s="1852" t="s">
        <v>574</v>
      </c>
      <c r="AU3" s="1853" t="s">
        <v>423</v>
      </c>
      <c r="AV3" s="1853" t="s">
        <v>575</v>
      </c>
      <c r="AW3" s="1870" t="s">
        <v>591</v>
      </c>
      <c r="AX3" s="1852" t="s">
        <v>574</v>
      </c>
      <c r="AY3" s="1853" t="s">
        <v>423</v>
      </c>
      <c r="AZ3" s="1853" t="s">
        <v>575</v>
      </c>
      <c r="BA3" s="1870" t="s">
        <v>591</v>
      </c>
      <c r="BB3" s="1852" t="s">
        <v>574</v>
      </c>
      <c r="BC3" s="1853" t="s">
        <v>423</v>
      </c>
      <c r="BD3" s="1853" t="s">
        <v>575</v>
      </c>
      <c r="BE3" s="1870" t="s">
        <v>591</v>
      </c>
      <c r="BF3" s="1852" t="s">
        <v>574</v>
      </c>
      <c r="BG3" s="1853" t="s">
        <v>423</v>
      </c>
      <c r="BH3" s="1853" t="s">
        <v>575</v>
      </c>
      <c r="BI3" s="1870" t="s">
        <v>591</v>
      </c>
      <c r="BJ3" s="1852" t="s">
        <v>574</v>
      </c>
      <c r="BK3" s="1853" t="s">
        <v>423</v>
      </c>
      <c r="BL3" s="1853" t="s">
        <v>575</v>
      </c>
      <c r="BM3" s="1870" t="s">
        <v>591</v>
      </c>
      <c r="BN3" s="1852" t="s">
        <v>574</v>
      </c>
      <c r="BO3" s="1853" t="s">
        <v>423</v>
      </c>
      <c r="BP3" s="1853" t="s">
        <v>575</v>
      </c>
      <c r="BQ3" s="1870" t="s">
        <v>591</v>
      </c>
      <c r="BR3" s="1852" t="s">
        <v>574</v>
      </c>
      <c r="BS3" s="1853" t="s">
        <v>423</v>
      </c>
      <c r="BT3" s="1853" t="s">
        <v>575</v>
      </c>
      <c r="BU3" s="1870" t="s">
        <v>591</v>
      </c>
      <c r="BV3" s="1852" t="s">
        <v>574</v>
      </c>
      <c r="BW3" s="1853" t="s">
        <v>423</v>
      </c>
      <c r="BX3" s="1853" t="s">
        <v>575</v>
      </c>
      <c r="BY3" s="1870" t="s">
        <v>591</v>
      </c>
      <c r="BZ3" s="1852" t="s">
        <v>574</v>
      </c>
      <c r="CA3" s="1853" t="s">
        <v>423</v>
      </c>
      <c r="CB3" s="1853" t="s">
        <v>575</v>
      </c>
      <c r="CC3" s="1870" t="s">
        <v>591</v>
      </c>
      <c r="CD3" s="1852" t="s">
        <v>574</v>
      </c>
      <c r="CE3" s="1853" t="s">
        <v>423</v>
      </c>
      <c r="CF3" s="1853" t="s">
        <v>575</v>
      </c>
      <c r="CG3" s="1870" t="s">
        <v>591</v>
      </c>
      <c r="CH3" s="1852" t="s">
        <v>574</v>
      </c>
      <c r="CI3" s="1853" t="s">
        <v>423</v>
      </c>
      <c r="CJ3" s="1853" t="s">
        <v>575</v>
      </c>
      <c r="CK3" s="1870" t="s">
        <v>591</v>
      </c>
      <c r="CL3" s="1852" t="s">
        <v>574</v>
      </c>
      <c r="CM3" s="1853" t="s">
        <v>423</v>
      </c>
      <c r="CN3" s="1853" t="s">
        <v>575</v>
      </c>
      <c r="CO3" s="1870" t="s">
        <v>591</v>
      </c>
      <c r="CP3" s="1852" t="s">
        <v>574</v>
      </c>
      <c r="CQ3" s="1853" t="s">
        <v>423</v>
      </c>
      <c r="CR3" s="1853" t="s">
        <v>575</v>
      </c>
      <c r="CS3" s="1870" t="s">
        <v>591</v>
      </c>
      <c r="CT3" s="1852" t="s">
        <v>574</v>
      </c>
      <c r="CU3" s="1853" t="s">
        <v>423</v>
      </c>
      <c r="CV3" s="1853" t="s">
        <v>575</v>
      </c>
      <c r="CW3" s="1870" t="s">
        <v>591</v>
      </c>
    </row>
    <row r="4" spans="1:101" ht="16.5">
      <c r="A4" s="1847" t="s">
        <v>592</v>
      </c>
      <c r="B4" s="1841"/>
      <c r="C4" s="1831"/>
      <c r="D4" s="1831"/>
      <c r="E4" s="1850"/>
      <c r="F4" s="1854"/>
      <c r="G4" s="1855"/>
      <c r="H4" s="1855"/>
      <c r="I4" s="1856"/>
      <c r="J4" s="1860"/>
      <c r="K4" s="1855"/>
      <c r="L4" s="1855"/>
      <c r="M4" s="1856"/>
      <c r="N4" s="1860"/>
      <c r="O4" s="1855"/>
      <c r="P4" s="1855"/>
      <c r="Q4" s="1856"/>
      <c r="R4" s="1860"/>
      <c r="S4" s="1855"/>
      <c r="T4" s="1855"/>
      <c r="U4" s="1856"/>
      <c r="V4" s="1860"/>
      <c r="W4" s="1855"/>
      <c r="X4" s="1855"/>
      <c r="Y4" s="1856"/>
      <c r="Z4" s="1860"/>
      <c r="AA4" s="1855"/>
      <c r="AB4" s="1855"/>
      <c r="AC4" s="1856"/>
      <c r="AD4" s="1860"/>
      <c r="AE4" s="1855"/>
      <c r="AF4" s="1855"/>
      <c r="AG4" s="1856"/>
      <c r="AH4" s="1860"/>
      <c r="AI4" s="1855"/>
      <c r="AJ4" s="1855"/>
      <c r="AK4" s="1856"/>
      <c r="AL4" s="1860"/>
      <c r="AM4" s="1855"/>
      <c r="AN4" s="1855"/>
      <c r="AO4" s="1856"/>
      <c r="AP4" s="1860"/>
      <c r="AQ4" s="1855"/>
      <c r="AR4" s="1855"/>
      <c r="AS4" s="1856"/>
      <c r="AT4" s="1860"/>
      <c r="AU4" s="1855"/>
      <c r="AV4" s="1855"/>
      <c r="AW4" s="1856"/>
      <c r="AX4" s="1860"/>
      <c r="AY4" s="1855"/>
      <c r="AZ4" s="1855"/>
      <c r="BA4" s="1856"/>
      <c r="BB4" s="1860"/>
      <c r="BC4" s="1855"/>
      <c r="BD4" s="1855"/>
      <c r="BE4" s="1856"/>
      <c r="BF4" s="1860"/>
      <c r="BG4" s="1855"/>
      <c r="BH4" s="1855"/>
      <c r="BI4" s="1856"/>
      <c r="BJ4" s="1860"/>
      <c r="BK4" s="1855"/>
      <c r="BL4" s="1855"/>
      <c r="BM4" s="1856"/>
      <c r="BN4" s="1860"/>
      <c r="BO4" s="1855"/>
      <c r="BP4" s="1855"/>
      <c r="BQ4" s="1856"/>
      <c r="BR4" s="1860"/>
      <c r="BS4" s="1855"/>
      <c r="BT4" s="1855"/>
      <c r="BU4" s="1856"/>
      <c r="BV4" s="1860"/>
      <c r="BW4" s="1855"/>
      <c r="BX4" s="1855"/>
      <c r="BY4" s="1856"/>
      <c r="BZ4" s="1860"/>
      <c r="CA4" s="1855"/>
      <c r="CB4" s="1855"/>
      <c r="CC4" s="1856"/>
      <c r="CD4" s="1860"/>
      <c r="CE4" s="1855"/>
      <c r="CF4" s="1855"/>
      <c r="CG4" s="1856"/>
      <c r="CH4" s="1860"/>
      <c r="CI4" s="1855"/>
      <c r="CJ4" s="1855"/>
      <c r="CK4" s="1856"/>
      <c r="CL4" s="1860"/>
      <c r="CM4" s="1855"/>
      <c r="CN4" s="1855"/>
      <c r="CO4" s="1856"/>
      <c r="CP4" s="1860"/>
      <c r="CQ4" s="1855"/>
      <c r="CR4" s="1855"/>
      <c r="CS4" s="1856"/>
      <c r="CT4" s="1860"/>
      <c r="CU4" s="1855"/>
      <c r="CV4" s="1855"/>
      <c r="CW4" s="1856"/>
    </row>
    <row r="5" spans="1:101" ht="16.5">
      <c r="A5" s="1848" t="s">
        <v>577</v>
      </c>
      <c r="B5" s="1842">
        <v>204</v>
      </c>
      <c r="C5" s="1831">
        <v>424</v>
      </c>
      <c r="D5" s="1832">
        <f aca="true" t="shared" si="0" ref="D5:D10">C5</f>
        <v>424</v>
      </c>
      <c r="E5" s="1850">
        <v>702</v>
      </c>
      <c r="F5" s="1835">
        <v>2</v>
      </c>
      <c r="G5" s="1831">
        <v>3</v>
      </c>
      <c r="H5" s="1831">
        <v>2</v>
      </c>
      <c r="I5" s="1836">
        <v>27</v>
      </c>
      <c r="J5" s="1841">
        <v>2.3</v>
      </c>
      <c r="K5" s="1831">
        <v>2</v>
      </c>
      <c r="L5" s="1831"/>
      <c r="M5" s="1836">
        <v>2.7</v>
      </c>
      <c r="N5" s="1841">
        <v>2</v>
      </c>
      <c r="O5" s="1831">
        <v>-1</v>
      </c>
      <c r="P5" s="1831">
        <v>-1</v>
      </c>
      <c r="Q5" s="1836">
        <v>9</v>
      </c>
      <c r="R5" s="1841">
        <v>0</v>
      </c>
      <c r="S5" s="1831">
        <v>4907</v>
      </c>
      <c r="T5" s="1831">
        <v>4864</v>
      </c>
      <c r="U5" s="1836">
        <v>4</v>
      </c>
      <c r="V5" s="1841">
        <v>9</v>
      </c>
      <c r="W5" s="1831">
        <v>9</v>
      </c>
      <c r="X5" s="1831">
        <v>8</v>
      </c>
      <c r="Y5" s="1836">
        <v>20.8</v>
      </c>
      <c r="Z5" s="1841">
        <v>24.05</v>
      </c>
      <c r="AA5" s="1831">
        <v>65</v>
      </c>
      <c r="AB5" s="1831">
        <v>66</v>
      </c>
      <c r="AC5" s="1836">
        <v>119.4</v>
      </c>
      <c r="AD5" s="1841">
        <v>1</v>
      </c>
      <c r="AE5" s="1831">
        <v>877</v>
      </c>
      <c r="AF5" s="1831">
        <v>877</v>
      </c>
      <c r="AG5" s="1836">
        <v>44</v>
      </c>
      <c r="AH5" s="1841"/>
      <c r="AI5" s="1831"/>
      <c r="AJ5" s="1831"/>
      <c r="AK5" s="1836"/>
      <c r="AL5" s="1841"/>
      <c r="AM5" s="1831">
        <v>2</v>
      </c>
      <c r="AN5" s="1831">
        <v>2</v>
      </c>
      <c r="AO5" s="1836">
        <v>20</v>
      </c>
      <c r="AP5" s="1841">
        <v>45.27</v>
      </c>
      <c r="AQ5" s="1831">
        <v>846</v>
      </c>
      <c r="AR5" s="1831">
        <f aca="true" t="shared" si="1" ref="AR5:AR10">AQ5</f>
        <v>846</v>
      </c>
      <c r="AS5" s="1836">
        <v>2088.71</v>
      </c>
      <c r="AT5" s="1841">
        <v>42</v>
      </c>
      <c r="AU5" s="1831">
        <v>23</v>
      </c>
      <c r="AV5" s="1831">
        <v>23</v>
      </c>
      <c r="AW5" s="1836">
        <v>332.1</v>
      </c>
      <c r="AX5" s="1841"/>
      <c r="AY5" s="1831"/>
      <c r="AZ5" s="1831"/>
      <c r="BA5" s="1836"/>
      <c r="BB5" s="1841">
        <v>40.49</v>
      </c>
      <c r="BC5" s="1831">
        <v>6650</v>
      </c>
      <c r="BD5" s="1831">
        <f>BC5</f>
        <v>6650</v>
      </c>
      <c r="BE5" s="1836">
        <v>228</v>
      </c>
      <c r="BF5" s="1841">
        <v>25.29</v>
      </c>
      <c r="BG5" s="1831">
        <v>12645</v>
      </c>
      <c r="BH5" s="1831">
        <f>BG5</f>
        <v>12645</v>
      </c>
      <c r="BI5" s="1836">
        <v>632.25</v>
      </c>
      <c r="BJ5" s="1841">
        <v>2100</v>
      </c>
      <c r="BK5" s="1831"/>
      <c r="BL5" s="1831"/>
      <c r="BM5" s="1836">
        <v>5994</v>
      </c>
      <c r="BN5" s="1841">
        <v>12</v>
      </c>
      <c r="BO5" s="1831">
        <v>36</v>
      </c>
      <c r="BP5" s="1831">
        <v>33</v>
      </c>
      <c r="BQ5" s="1836">
        <v>286</v>
      </c>
      <c r="BR5" s="1841"/>
      <c r="BS5" s="1831"/>
      <c r="BT5" s="1831"/>
      <c r="BU5" s="1836"/>
      <c r="BV5" s="1841"/>
      <c r="BW5" s="1831"/>
      <c r="BX5" s="1831"/>
      <c r="BY5" s="1836"/>
      <c r="BZ5" s="1841"/>
      <c r="CA5" s="1831">
        <v>103</v>
      </c>
      <c r="CB5" s="1831">
        <f>CA5</f>
        <v>103</v>
      </c>
      <c r="CC5" s="1836"/>
      <c r="CD5" s="1841"/>
      <c r="CE5" s="1831"/>
      <c r="CF5" s="1831"/>
      <c r="CG5" s="1836"/>
      <c r="CH5" s="1841">
        <v>-2.99</v>
      </c>
      <c r="CI5" s="1831"/>
      <c r="CJ5" s="1831"/>
      <c r="CK5" s="1836"/>
      <c r="CL5" s="1841">
        <v>2</v>
      </c>
      <c r="CM5" s="1831"/>
      <c r="CN5" s="1831"/>
      <c r="CO5" s="1836">
        <v>2</v>
      </c>
      <c r="CP5" s="1841">
        <v>24.81</v>
      </c>
      <c r="CQ5" s="1831">
        <v>857</v>
      </c>
      <c r="CR5" s="1831">
        <v>686</v>
      </c>
      <c r="CS5" s="1836">
        <v>121.05</v>
      </c>
      <c r="CT5" s="1872">
        <f>B5+F5+J5+N5+R5+V5+Z5+AD5+AH5+AL5+AP5+AT5+AX5+BB5+BF5+BJ5+BN5+BR5+BV5+BZ5+CD5+CH5+CL5+CP5</f>
        <v>2533.2200000000003</v>
      </c>
      <c r="CU5" s="1872">
        <f>C5+G5+K5+O5+S5+W5+AA5+AE5+AI5+AM5+AQ5+AU5+AY5+BC5+BG5+BK5+BO5+BS5+BW5+CA5+CE5+CI5+CM5+CQ5</f>
        <v>27448</v>
      </c>
      <c r="CV5" s="1872">
        <f>D5+H5+L5+P5+T5+X5+AB5+AF5+AJ5+AN5+AR5+AV5+AZ5+BD5+BH5+BL5+BP5+BT5+BX5+CB5+CF5+CJ5+CN5+CR5</f>
        <v>27228</v>
      </c>
      <c r="CW5" s="1872">
        <f>E5+I5+M5+Q5+U5+Y5+AC5+AG5+AK5+AO5+AS5+AW5+BA5+BE5+BI5+BM5+BQ5+BU5+BY5+CC5+CG5+CK5+CO5+CS5</f>
        <v>10633.009999999998</v>
      </c>
    </row>
    <row r="6" spans="1:101" ht="16.5">
      <c r="A6" s="1848" t="s">
        <v>578</v>
      </c>
      <c r="B6" s="1842">
        <v>599</v>
      </c>
      <c r="C6" s="1831">
        <v>299</v>
      </c>
      <c r="D6" s="1832">
        <f t="shared" si="0"/>
        <v>299</v>
      </c>
      <c r="E6" s="1850">
        <v>1190</v>
      </c>
      <c r="F6" s="1835">
        <v>12</v>
      </c>
      <c r="G6" s="1831">
        <v>7</v>
      </c>
      <c r="H6" s="1831">
        <v>6</v>
      </c>
      <c r="I6" s="1836">
        <v>37</v>
      </c>
      <c r="J6" s="1841">
        <v>5.1</v>
      </c>
      <c r="K6" s="1831">
        <v>3</v>
      </c>
      <c r="L6" s="1831">
        <v>2</v>
      </c>
      <c r="M6" s="1836">
        <v>7.9</v>
      </c>
      <c r="N6" s="1841">
        <v>6</v>
      </c>
      <c r="O6" s="1831"/>
      <c r="P6" s="1831"/>
      <c r="Q6" s="1836"/>
      <c r="R6" s="1841">
        <v>1</v>
      </c>
      <c r="S6" s="1831">
        <v>68</v>
      </c>
      <c r="T6" s="1831">
        <v>68</v>
      </c>
      <c r="U6" s="1836">
        <v>1</v>
      </c>
      <c r="V6" s="1841">
        <v>28.7</v>
      </c>
      <c r="W6" s="1831">
        <v>15</v>
      </c>
      <c r="X6" s="1831">
        <v>15</v>
      </c>
      <c r="Y6" s="1836">
        <v>101.4</v>
      </c>
      <c r="Z6" s="1841">
        <v>88.42</v>
      </c>
      <c r="AA6" s="1831">
        <v>57</v>
      </c>
      <c r="AB6" s="1831">
        <v>55</v>
      </c>
      <c r="AC6" s="1836">
        <v>154</v>
      </c>
      <c r="AD6" s="1841"/>
      <c r="AE6" s="1831"/>
      <c r="AF6" s="1831"/>
      <c r="AG6" s="1836"/>
      <c r="AH6" s="1841">
        <v>20.58</v>
      </c>
      <c r="AI6" s="1831"/>
      <c r="AJ6" s="1831"/>
      <c r="AK6" s="1836"/>
      <c r="AL6" s="1841"/>
      <c r="AM6" s="1831">
        <v>3</v>
      </c>
      <c r="AN6" s="1831">
        <v>3</v>
      </c>
      <c r="AO6" s="1836">
        <v>40</v>
      </c>
      <c r="AP6" s="1841">
        <v>80.46</v>
      </c>
      <c r="AQ6" s="1831">
        <v>684</v>
      </c>
      <c r="AR6" s="1831">
        <f t="shared" si="1"/>
        <v>684</v>
      </c>
      <c r="AS6" s="1836">
        <v>2026.27</v>
      </c>
      <c r="AT6" s="1841">
        <v>165.7</v>
      </c>
      <c r="AU6" s="1831">
        <v>4</v>
      </c>
      <c r="AV6" s="1831">
        <v>4</v>
      </c>
      <c r="AW6" s="1836">
        <v>63.8</v>
      </c>
      <c r="AX6" s="1841">
        <v>25</v>
      </c>
      <c r="AY6" s="1831">
        <v>100</v>
      </c>
      <c r="AZ6" s="1831">
        <v>100</v>
      </c>
      <c r="BA6" s="1836">
        <v>112</v>
      </c>
      <c r="BB6" s="1841">
        <v>5.32</v>
      </c>
      <c r="BC6" s="1831">
        <v>36</v>
      </c>
      <c r="BD6" s="1831">
        <f aca="true" t="shared" si="2" ref="BD6:BD11">BC6</f>
        <v>36</v>
      </c>
      <c r="BE6" s="1836">
        <v>47</v>
      </c>
      <c r="BF6" s="1841">
        <v>8.37</v>
      </c>
      <c r="BG6" s="1831">
        <v>54</v>
      </c>
      <c r="BH6" s="1831">
        <f>BG6</f>
        <v>54</v>
      </c>
      <c r="BI6" s="1836">
        <v>757.59</v>
      </c>
      <c r="BJ6" s="1841">
        <v>5806</v>
      </c>
      <c r="BK6" s="1831"/>
      <c r="BL6" s="1831"/>
      <c r="BM6" s="1836">
        <v>15474</v>
      </c>
      <c r="BN6" s="1841">
        <v>49</v>
      </c>
      <c r="BO6" s="1831"/>
      <c r="BP6" s="1831"/>
      <c r="BQ6" s="1836"/>
      <c r="BR6" s="1841">
        <v>1</v>
      </c>
      <c r="BS6" s="1831"/>
      <c r="BT6" s="1831"/>
      <c r="BU6" s="1836"/>
      <c r="BV6" s="1841"/>
      <c r="BW6" s="1831"/>
      <c r="BX6" s="1831"/>
      <c r="BY6" s="1836"/>
      <c r="BZ6" s="1841"/>
      <c r="CA6" s="1831">
        <v>274</v>
      </c>
      <c r="CB6" s="1831">
        <f aca="true" t="shared" si="3" ref="CB6:CB11">CA6</f>
        <v>274</v>
      </c>
      <c r="CC6" s="1836">
        <v>2500</v>
      </c>
      <c r="CD6" s="1841">
        <v>2</v>
      </c>
      <c r="CE6" s="1831">
        <v>8</v>
      </c>
      <c r="CF6" s="1831">
        <f>CE6</f>
        <v>8</v>
      </c>
      <c r="CG6" s="1836">
        <v>4.69</v>
      </c>
      <c r="CH6" s="1841">
        <v>-0.75</v>
      </c>
      <c r="CI6" s="1831"/>
      <c r="CJ6" s="1831"/>
      <c r="CK6" s="1836"/>
      <c r="CL6" s="1841">
        <v>8</v>
      </c>
      <c r="CM6" s="1831"/>
      <c r="CN6" s="1831"/>
      <c r="CO6" s="1836">
        <v>10</v>
      </c>
      <c r="CP6" s="1841">
        <v>431.79</v>
      </c>
      <c r="CQ6" s="1831">
        <v>1958</v>
      </c>
      <c r="CR6" s="1831">
        <v>1885</v>
      </c>
      <c r="CS6" s="1836">
        <v>979</v>
      </c>
      <c r="CT6" s="1872">
        <f aca="true" t="shared" si="4" ref="CT6:CT12">B6+F6+J6+N6+R6+V6+Z6+AD6+AH6+AL6+AP6+AT6+AX6+BB6+BF6+BJ6+BN6+BR6+BV6+BZ6+CD6+CH6+CL6+CP6</f>
        <v>7342.69</v>
      </c>
      <c r="CU6" s="1872">
        <f aca="true" t="shared" si="5" ref="CU6:CU12">C6+G6+K6+O6+S6+W6+AA6+AE6+AI6+AM6+AQ6+AU6+AY6+BC6+BG6+BK6+BO6+BS6+BW6+CA6+CE6+CI6+CM6+CQ6</f>
        <v>3570</v>
      </c>
      <c r="CV6" s="1872">
        <f aca="true" t="shared" si="6" ref="CV6:CV12">D6+H6+L6+P6+T6+X6+AB6+AF6+AJ6+AN6+AR6+AV6+AZ6+BD6+BH6+BL6+BP6+BT6+BX6+CB6+CF6+CJ6+CN6+CR6</f>
        <v>3493</v>
      </c>
      <c r="CW6" s="1872">
        <f aca="true" t="shared" si="7" ref="CW6:CW12">E6+I6+M6+Q6+U6+Y6+AC6+AG6+AK6+AO6+AS6+AW6+BA6+BE6+BI6+BM6+BQ6+BU6+BY6+CC6+CG6+CK6+CO6+CS6</f>
        <v>23505.649999999998</v>
      </c>
    </row>
    <row r="7" spans="1:101" ht="16.5">
      <c r="A7" s="1848" t="s">
        <v>579</v>
      </c>
      <c r="B7" s="1842">
        <v>750</v>
      </c>
      <c r="C7" s="1831">
        <v>169</v>
      </c>
      <c r="D7" s="1832">
        <f t="shared" si="0"/>
        <v>169</v>
      </c>
      <c r="E7" s="1850">
        <v>1488</v>
      </c>
      <c r="F7" s="1835">
        <v>18</v>
      </c>
      <c r="G7" s="1831">
        <v>5</v>
      </c>
      <c r="H7" s="1831">
        <v>4</v>
      </c>
      <c r="I7" s="1836">
        <v>293</v>
      </c>
      <c r="J7" s="1841">
        <v>3.8</v>
      </c>
      <c r="K7" s="1831">
        <v>1</v>
      </c>
      <c r="L7" s="1831">
        <v>1</v>
      </c>
      <c r="M7" s="1836">
        <v>7.6</v>
      </c>
      <c r="N7" s="1841">
        <v>27</v>
      </c>
      <c r="O7" s="1831">
        <v>31</v>
      </c>
      <c r="P7" s="1831">
        <v>23</v>
      </c>
      <c r="Q7" s="1836">
        <v>39</v>
      </c>
      <c r="R7" s="1841">
        <v>1</v>
      </c>
      <c r="S7" s="1831">
        <v>13</v>
      </c>
      <c r="T7" s="1831">
        <v>13</v>
      </c>
      <c r="U7" s="1836">
        <v>1</v>
      </c>
      <c r="V7" s="1841">
        <v>29</v>
      </c>
      <c r="W7" s="1831">
        <v>7</v>
      </c>
      <c r="X7" s="1831">
        <v>6</v>
      </c>
      <c r="Y7" s="1836">
        <v>36.3</v>
      </c>
      <c r="Z7" s="1841">
        <v>59.07</v>
      </c>
      <c r="AA7" s="1831">
        <v>15</v>
      </c>
      <c r="AB7" s="1831">
        <v>15</v>
      </c>
      <c r="AC7" s="1836">
        <v>113.55</v>
      </c>
      <c r="AD7" s="1841">
        <v>3</v>
      </c>
      <c r="AE7" s="1831">
        <v>5</v>
      </c>
      <c r="AF7" s="1831">
        <v>5</v>
      </c>
      <c r="AG7" s="1836">
        <v>5</v>
      </c>
      <c r="AH7" s="1841">
        <v>172.32</v>
      </c>
      <c r="AI7" s="1831">
        <v>34</v>
      </c>
      <c r="AJ7" s="1831">
        <v>32</v>
      </c>
      <c r="AK7" s="1836">
        <v>190.33</v>
      </c>
      <c r="AL7" s="1841">
        <v>6</v>
      </c>
      <c r="AM7" s="1831">
        <v>12</v>
      </c>
      <c r="AN7" s="1831">
        <v>6</v>
      </c>
      <c r="AO7" s="1836">
        <v>11</v>
      </c>
      <c r="AP7" s="1841">
        <v>101.81</v>
      </c>
      <c r="AQ7" s="1831">
        <v>249</v>
      </c>
      <c r="AR7" s="1831">
        <f t="shared" si="1"/>
        <v>249</v>
      </c>
      <c r="AS7" s="1836">
        <v>527.68</v>
      </c>
      <c r="AT7" s="1841">
        <v>223.4</v>
      </c>
      <c r="AU7" s="1831">
        <v>212</v>
      </c>
      <c r="AV7" s="1831">
        <v>207</v>
      </c>
      <c r="AW7" s="1836">
        <v>543.3</v>
      </c>
      <c r="AX7" s="1841">
        <v>113</v>
      </c>
      <c r="AY7" s="1831">
        <v>245</v>
      </c>
      <c r="AZ7" s="1831">
        <v>245</v>
      </c>
      <c r="BA7" s="1836">
        <v>304</v>
      </c>
      <c r="BB7" s="1841">
        <v>15.67</v>
      </c>
      <c r="BC7" s="1831">
        <v>32</v>
      </c>
      <c r="BD7" s="1831">
        <f t="shared" si="2"/>
        <v>32</v>
      </c>
      <c r="BE7" s="1836">
        <v>70</v>
      </c>
      <c r="BF7" s="1841">
        <v>5.56</v>
      </c>
      <c r="BG7" s="1831">
        <v>17</v>
      </c>
      <c r="BH7" s="1831">
        <f>BG7</f>
        <v>17</v>
      </c>
      <c r="BI7" s="1836">
        <v>399.13</v>
      </c>
      <c r="BJ7" s="1841">
        <v>4368</v>
      </c>
      <c r="BK7" s="1831"/>
      <c r="BL7" s="1831"/>
      <c r="BM7" s="1836">
        <v>11888</v>
      </c>
      <c r="BN7" s="1841">
        <v>34</v>
      </c>
      <c r="BO7" s="1831">
        <v>1</v>
      </c>
      <c r="BP7" s="1831">
        <v>1</v>
      </c>
      <c r="BQ7" s="1836">
        <v>2</v>
      </c>
      <c r="BR7" s="1841">
        <v>1</v>
      </c>
      <c r="BS7" s="1831">
        <v>1</v>
      </c>
      <c r="BT7" s="1831">
        <f>BS7</f>
        <v>1</v>
      </c>
      <c r="BU7" s="1836">
        <v>1</v>
      </c>
      <c r="BV7" s="1841"/>
      <c r="BW7" s="1831"/>
      <c r="BX7" s="1831"/>
      <c r="BY7" s="1836"/>
      <c r="BZ7" s="1841">
        <v>300</v>
      </c>
      <c r="CA7" s="1831">
        <v>760</v>
      </c>
      <c r="CB7" s="1831">
        <f t="shared" si="3"/>
        <v>760</v>
      </c>
      <c r="CC7" s="1836">
        <v>3100</v>
      </c>
      <c r="CD7" s="1841">
        <v>42.8</v>
      </c>
      <c r="CE7" s="1831">
        <v>90</v>
      </c>
      <c r="CF7" s="1831">
        <v>84</v>
      </c>
      <c r="CG7" s="1836">
        <v>152.21</v>
      </c>
      <c r="CH7" s="1841"/>
      <c r="CI7" s="1831"/>
      <c r="CJ7" s="1831"/>
      <c r="CK7" s="1836"/>
      <c r="CL7" s="1841"/>
      <c r="CM7" s="1831"/>
      <c r="CN7" s="1831"/>
      <c r="CO7" s="1836"/>
      <c r="CP7" s="1841">
        <v>22846.16</v>
      </c>
      <c r="CQ7" s="1831">
        <v>57409</v>
      </c>
      <c r="CR7" s="1831">
        <v>54164</v>
      </c>
      <c r="CS7" s="1836">
        <v>37464.33</v>
      </c>
      <c r="CT7" s="1872">
        <f t="shared" si="4"/>
        <v>29120.59</v>
      </c>
      <c r="CU7" s="1872">
        <f t="shared" si="5"/>
        <v>59308</v>
      </c>
      <c r="CV7" s="1872">
        <f t="shared" si="6"/>
        <v>56034</v>
      </c>
      <c r="CW7" s="1872">
        <f t="shared" si="7"/>
        <v>56636.43</v>
      </c>
    </row>
    <row r="8" spans="1:101" ht="16.5">
      <c r="A8" s="1848" t="s">
        <v>580</v>
      </c>
      <c r="B8" s="1843">
        <v>290</v>
      </c>
      <c r="C8" s="1831">
        <v>42</v>
      </c>
      <c r="D8" s="1832">
        <f t="shared" si="0"/>
        <v>42</v>
      </c>
      <c r="E8" s="1850">
        <v>575</v>
      </c>
      <c r="F8" s="1835">
        <v>7</v>
      </c>
      <c r="G8" s="1831">
        <v>1</v>
      </c>
      <c r="H8" s="1831">
        <v>1</v>
      </c>
      <c r="I8" s="1836">
        <v>7</v>
      </c>
      <c r="J8" s="1841"/>
      <c r="K8" s="1831"/>
      <c r="L8" s="1831"/>
      <c r="M8" s="1836"/>
      <c r="N8" s="1841">
        <v>6</v>
      </c>
      <c r="O8" s="1831">
        <v>5</v>
      </c>
      <c r="P8" s="1831">
        <v>4</v>
      </c>
      <c r="Q8" s="1836">
        <v>16</v>
      </c>
      <c r="R8" s="1841"/>
      <c r="S8" s="1831">
        <v>7</v>
      </c>
      <c r="T8" s="1831">
        <v>7</v>
      </c>
      <c r="U8" s="1836">
        <v>3</v>
      </c>
      <c r="V8" s="1841">
        <v>26</v>
      </c>
      <c r="W8" s="1831">
        <v>4</v>
      </c>
      <c r="X8" s="1831">
        <v>3</v>
      </c>
      <c r="Y8" s="1836">
        <v>32.5</v>
      </c>
      <c r="Z8" s="1841">
        <v>18.42</v>
      </c>
      <c r="AA8" s="1831">
        <v>3</v>
      </c>
      <c r="AB8" s="1831">
        <v>3</v>
      </c>
      <c r="AC8" s="1836">
        <v>23.02</v>
      </c>
      <c r="AD8" s="1841"/>
      <c r="AE8" s="1831"/>
      <c r="AF8" s="1831"/>
      <c r="AG8" s="1836">
        <v>-7</v>
      </c>
      <c r="AH8" s="1841">
        <v>12.59</v>
      </c>
      <c r="AI8" s="1831">
        <v>21</v>
      </c>
      <c r="AJ8" s="1831">
        <v>21</v>
      </c>
      <c r="AK8" s="1836">
        <v>414.45</v>
      </c>
      <c r="AL8" s="1841">
        <v>3</v>
      </c>
      <c r="AM8" s="1831">
        <v>4</v>
      </c>
      <c r="AN8" s="1831">
        <v>2</v>
      </c>
      <c r="AO8" s="1836">
        <v>4</v>
      </c>
      <c r="AP8" s="1841">
        <v>43.24</v>
      </c>
      <c r="AQ8" s="1831">
        <v>76</v>
      </c>
      <c r="AR8" s="1831">
        <f t="shared" si="1"/>
        <v>76</v>
      </c>
      <c r="AS8" s="1836">
        <v>479.82</v>
      </c>
      <c r="AT8" s="1841">
        <v>106.4</v>
      </c>
      <c r="AU8" s="1831">
        <v>89</v>
      </c>
      <c r="AV8" s="1831">
        <v>88</v>
      </c>
      <c r="AW8" s="1836">
        <v>420</v>
      </c>
      <c r="AX8" s="1841">
        <v>25</v>
      </c>
      <c r="AY8" s="1831">
        <v>40</v>
      </c>
      <c r="AZ8" s="1831">
        <v>40</v>
      </c>
      <c r="BA8" s="1836">
        <v>67</v>
      </c>
      <c r="BB8" s="1841">
        <v>1.89</v>
      </c>
      <c r="BC8" s="1831">
        <v>3</v>
      </c>
      <c r="BD8" s="1831">
        <f t="shared" si="2"/>
        <v>3</v>
      </c>
      <c r="BE8" s="1836">
        <v>52</v>
      </c>
      <c r="BF8" s="1841">
        <v>2.75</v>
      </c>
      <c r="BG8" s="1831">
        <v>5</v>
      </c>
      <c r="BH8" s="1831">
        <f>BG8</f>
        <v>5</v>
      </c>
      <c r="BI8" s="1836">
        <v>215</v>
      </c>
      <c r="BJ8" s="1841">
        <v>1573</v>
      </c>
      <c r="BK8" s="1831"/>
      <c r="BL8" s="1831"/>
      <c r="BM8" s="1836">
        <v>4527</v>
      </c>
      <c r="BN8" s="1841"/>
      <c r="BO8" s="1831">
        <v>1</v>
      </c>
      <c r="BP8" s="1831">
        <v>1</v>
      </c>
      <c r="BQ8" s="1836">
        <v>3</v>
      </c>
      <c r="BR8" s="1841">
        <v>10</v>
      </c>
      <c r="BS8" s="1831">
        <v>17</v>
      </c>
      <c r="BT8" s="1831">
        <f>BS8</f>
        <v>17</v>
      </c>
      <c r="BU8" s="1836">
        <v>27</v>
      </c>
      <c r="BV8" s="1841"/>
      <c r="BW8" s="1831"/>
      <c r="BX8" s="1831"/>
      <c r="BY8" s="1836"/>
      <c r="BZ8" s="1841">
        <v>300</v>
      </c>
      <c r="CA8" s="1831">
        <v>400</v>
      </c>
      <c r="CB8" s="1831">
        <f t="shared" si="3"/>
        <v>400</v>
      </c>
      <c r="CC8" s="1836">
        <v>1600</v>
      </c>
      <c r="CD8" s="1841">
        <v>10.02</v>
      </c>
      <c r="CE8" s="1831">
        <v>16</v>
      </c>
      <c r="CF8" s="1831">
        <v>14</v>
      </c>
      <c r="CG8" s="1836">
        <v>12.57</v>
      </c>
      <c r="CH8" s="1841">
        <v>119</v>
      </c>
      <c r="CI8" s="1831">
        <v>119</v>
      </c>
      <c r="CJ8" s="1831">
        <v>119</v>
      </c>
      <c r="CK8" s="1836">
        <v>194.7</v>
      </c>
      <c r="CL8" s="1841">
        <v>23</v>
      </c>
      <c r="CM8" s="1831">
        <v>22</v>
      </c>
      <c r="CN8" s="1831">
        <v>21</v>
      </c>
      <c r="CO8" s="1836">
        <v>29</v>
      </c>
      <c r="CP8" s="1841">
        <v>11764.38</v>
      </c>
      <c r="CQ8" s="1831">
        <v>19816</v>
      </c>
      <c r="CR8" s="1831">
        <v>18857</v>
      </c>
      <c r="CS8" s="1836">
        <v>24306.98</v>
      </c>
      <c r="CT8" s="1872">
        <f t="shared" si="4"/>
        <v>14341.689999999999</v>
      </c>
      <c r="CU8" s="1872">
        <f t="shared" si="5"/>
        <v>20691</v>
      </c>
      <c r="CV8" s="1872">
        <f t="shared" si="6"/>
        <v>19724</v>
      </c>
      <c r="CW8" s="1872">
        <f t="shared" si="7"/>
        <v>33002.04</v>
      </c>
    </row>
    <row r="9" spans="1:101" ht="16.5">
      <c r="A9" s="1848" t="s">
        <v>581</v>
      </c>
      <c r="B9" s="1842">
        <v>240</v>
      </c>
      <c r="C9" s="1831">
        <v>22</v>
      </c>
      <c r="D9" s="1832">
        <f t="shared" si="0"/>
        <v>22</v>
      </c>
      <c r="E9" s="1850">
        <v>476</v>
      </c>
      <c r="F9" s="1835"/>
      <c r="G9" s="1831"/>
      <c r="H9" s="1831"/>
      <c r="I9" s="1836"/>
      <c r="J9" s="1841">
        <v>7.9</v>
      </c>
      <c r="K9" s="1831">
        <v>1</v>
      </c>
      <c r="L9" s="1831">
        <v>1</v>
      </c>
      <c r="M9" s="1836">
        <v>9.8</v>
      </c>
      <c r="N9" s="1841">
        <v>33</v>
      </c>
      <c r="O9" s="1831">
        <v>30</v>
      </c>
      <c r="P9" s="1831">
        <v>25</v>
      </c>
      <c r="Q9" s="1836">
        <v>73</v>
      </c>
      <c r="R9" s="1841">
        <v>1</v>
      </c>
      <c r="S9" s="1831">
        <v>9</v>
      </c>
      <c r="T9" s="1831">
        <v>9</v>
      </c>
      <c r="U9" s="1836">
        <v>8</v>
      </c>
      <c r="V9" s="1841">
        <v>22.5</v>
      </c>
      <c r="W9" s="1831">
        <v>2</v>
      </c>
      <c r="X9" s="1831">
        <v>2</v>
      </c>
      <c r="Y9" s="1836">
        <v>25</v>
      </c>
      <c r="Z9" s="1841">
        <v>29.04</v>
      </c>
      <c r="AA9" s="1831">
        <v>3</v>
      </c>
      <c r="AB9" s="1831">
        <v>3</v>
      </c>
      <c r="AC9" s="1836">
        <v>34.81</v>
      </c>
      <c r="AD9" s="1841">
        <v>15</v>
      </c>
      <c r="AE9" s="1831">
        <v>15</v>
      </c>
      <c r="AF9" s="1831">
        <v>12</v>
      </c>
      <c r="AG9" s="1836">
        <v>53</v>
      </c>
      <c r="AH9" s="1841">
        <v>150.31</v>
      </c>
      <c r="AI9" s="1831">
        <v>151</v>
      </c>
      <c r="AJ9" s="1831">
        <v>148</v>
      </c>
      <c r="AK9" s="1836">
        <v>882.55</v>
      </c>
      <c r="AL9" s="1841">
        <v>10</v>
      </c>
      <c r="AM9" s="1831">
        <v>10</v>
      </c>
      <c r="AN9" s="1831">
        <v>7</v>
      </c>
      <c r="AO9" s="1836">
        <v>26</v>
      </c>
      <c r="AP9" s="1841">
        <v>143.91</v>
      </c>
      <c r="AQ9" s="1831">
        <v>151</v>
      </c>
      <c r="AR9" s="1831">
        <f t="shared" si="1"/>
        <v>151</v>
      </c>
      <c r="AS9" s="1836">
        <v>433.57</v>
      </c>
      <c r="AT9" s="1841">
        <v>280.7</v>
      </c>
      <c r="AU9" s="1831">
        <v>253</v>
      </c>
      <c r="AV9" s="1831">
        <v>249</v>
      </c>
      <c r="AW9" s="1836">
        <v>1494.4</v>
      </c>
      <c r="AX9" s="1841">
        <v>210</v>
      </c>
      <c r="AY9" s="1831">
        <v>211</v>
      </c>
      <c r="AZ9" s="1831">
        <v>211</v>
      </c>
      <c r="BA9" s="1836">
        <v>401</v>
      </c>
      <c r="BB9" s="1841">
        <v>27.87</v>
      </c>
      <c r="BC9" s="1831">
        <v>28</v>
      </c>
      <c r="BD9" s="1831">
        <f t="shared" si="2"/>
        <v>28</v>
      </c>
      <c r="BE9" s="1836">
        <v>32</v>
      </c>
      <c r="BF9" s="1841">
        <v>79.46</v>
      </c>
      <c r="BG9" s="1831">
        <v>80</v>
      </c>
      <c r="BH9" s="1831">
        <v>78</v>
      </c>
      <c r="BI9" s="1836">
        <v>324.06</v>
      </c>
      <c r="BJ9" s="1841">
        <v>1333</v>
      </c>
      <c r="BK9" s="1831">
        <v>29</v>
      </c>
      <c r="BL9" s="1831">
        <v>28</v>
      </c>
      <c r="BM9" s="1836">
        <v>3511</v>
      </c>
      <c r="BN9" s="1841">
        <v>16</v>
      </c>
      <c r="BO9" s="1831"/>
      <c r="BP9" s="1831"/>
      <c r="BQ9" s="1836"/>
      <c r="BR9" s="1841">
        <v>51</v>
      </c>
      <c r="BS9" s="1831">
        <v>53</v>
      </c>
      <c r="BT9" s="1831">
        <v>48</v>
      </c>
      <c r="BU9" s="1836">
        <v>127</v>
      </c>
      <c r="BV9" s="1841"/>
      <c r="BW9" s="1831"/>
      <c r="BX9" s="1831"/>
      <c r="BY9" s="1836"/>
      <c r="BZ9" s="1841">
        <v>800</v>
      </c>
      <c r="CA9" s="1831">
        <v>853</v>
      </c>
      <c r="CB9" s="1831">
        <f t="shared" si="3"/>
        <v>853</v>
      </c>
      <c r="CC9" s="1836">
        <v>1800</v>
      </c>
      <c r="CD9" s="1841">
        <v>134.68</v>
      </c>
      <c r="CE9" s="1831">
        <v>135</v>
      </c>
      <c r="CF9" s="1831">
        <v>127</v>
      </c>
      <c r="CG9" s="1836">
        <v>240.08</v>
      </c>
      <c r="CH9" s="1841">
        <v>7.85</v>
      </c>
      <c r="CI9" s="1831">
        <v>7</v>
      </c>
      <c r="CJ9" s="1831">
        <v>7</v>
      </c>
      <c r="CK9" s="1836">
        <v>13.5</v>
      </c>
      <c r="CL9" s="1841">
        <v>3</v>
      </c>
      <c r="CM9" s="1831">
        <v>1</v>
      </c>
      <c r="CN9" s="1831">
        <v>1</v>
      </c>
      <c r="CO9" s="1836">
        <v>3</v>
      </c>
      <c r="CP9" s="1841">
        <v>14019.67</v>
      </c>
      <c r="CQ9" s="1831">
        <v>15252</v>
      </c>
      <c r="CR9" s="1831">
        <v>14592</v>
      </c>
      <c r="CS9" s="1836">
        <v>27751.93</v>
      </c>
      <c r="CT9" s="1872">
        <f t="shared" si="4"/>
        <v>17615.89</v>
      </c>
      <c r="CU9" s="1872">
        <f t="shared" si="5"/>
        <v>17296</v>
      </c>
      <c r="CV9" s="1872">
        <f t="shared" si="6"/>
        <v>16602</v>
      </c>
      <c r="CW9" s="1872">
        <f t="shared" si="7"/>
        <v>37719.7</v>
      </c>
    </row>
    <row r="10" spans="1:101" ht="16.5">
      <c r="A10" s="1848" t="s">
        <v>582</v>
      </c>
      <c r="B10" s="1843">
        <v>136</v>
      </c>
      <c r="C10" s="1831">
        <v>10</v>
      </c>
      <c r="D10" s="1832">
        <f t="shared" si="0"/>
        <v>10</v>
      </c>
      <c r="E10" s="1850">
        <v>270</v>
      </c>
      <c r="F10" s="1835"/>
      <c r="G10" s="1831"/>
      <c r="H10" s="1831"/>
      <c r="I10" s="1836"/>
      <c r="J10" s="1841"/>
      <c r="K10" s="1831"/>
      <c r="L10" s="1831"/>
      <c r="M10" s="1836"/>
      <c r="N10" s="1841">
        <v>6</v>
      </c>
      <c r="O10" s="1831">
        <v>2</v>
      </c>
      <c r="P10" s="1831">
        <v>1</v>
      </c>
      <c r="Q10" s="1836">
        <v>3</v>
      </c>
      <c r="R10" s="1841"/>
      <c r="S10" s="1831">
        <v>3</v>
      </c>
      <c r="T10" s="1831">
        <v>3</v>
      </c>
      <c r="U10" s="1836">
        <v>4</v>
      </c>
      <c r="V10" s="1841"/>
      <c r="W10" s="1831"/>
      <c r="X10" s="1831"/>
      <c r="Y10" s="1836"/>
      <c r="Z10" s="1841">
        <v>35.04</v>
      </c>
      <c r="AA10" s="1831">
        <v>3</v>
      </c>
      <c r="AB10" s="1831">
        <v>2</v>
      </c>
      <c r="AC10" s="1836">
        <v>43.8</v>
      </c>
      <c r="AD10" s="1841"/>
      <c r="AE10" s="1831"/>
      <c r="AF10" s="1831"/>
      <c r="AG10" s="1836"/>
      <c r="AH10" s="1841">
        <v>26.23</v>
      </c>
      <c r="AI10" s="1831">
        <v>22</v>
      </c>
      <c r="AJ10" s="1831">
        <v>22</v>
      </c>
      <c r="AK10" s="1836">
        <v>266.68</v>
      </c>
      <c r="AL10" s="1841">
        <v>1</v>
      </c>
      <c r="AM10" s="1831">
        <v>1</v>
      </c>
      <c r="AN10" s="1831"/>
      <c r="AO10" s="1836">
        <v>4</v>
      </c>
      <c r="AP10" s="1841">
        <v>21.4</v>
      </c>
      <c r="AQ10" s="1831">
        <v>19</v>
      </c>
      <c r="AR10" s="1831">
        <f t="shared" si="1"/>
        <v>19</v>
      </c>
      <c r="AS10" s="1836">
        <v>259.39</v>
      </c>
      <c r="AT10" s="1841">
        <v>74</v>
      </c>
      <c r="AU10" s="1831">
        <v>55</v>
      </c>
      <c r="AV10" s="1831">
        <v>55</v>
      </c>
      <c r="AW10" s="1836">
        <v>587.7</v>
      </c>
      <c r="AX10" s="1841">
        <v>23</v>
      </c>
      <c r="AY10" s="1831">
        <v>20</v>
      </c>
      <c r="AZ10" s="1831">
        <v>20</v>
      </c>
      <c r="BA10" s="1836">
        <v>58</v>
      </c>
      <c r="BB10" s="1841">
        <v>6.76</v>
      </c>
      <c r="BC10" s="1831">
        <v>6</v>
      </c>
      <c r="BD10" s="1831">
        <f t="shared" si="2"/>
        <v>6</v>
      </c>
      <c r="BE10" s="1836">
        <v>7</v>
      </c>
      <c r="BF10" s="1841">
        <v>15.3</v>
      </c>
      <c r="BG10" s="1831">
        <v>13</v>
      </c>
      <c r="BH10" s="1831">
        <v>12</v>
      </c>
      <c r="BI10" s="1836">
        <v>64.83</v>
      </c>
      <c r="BJ10" s="1841">
        <v>600</v>
      </c>
      <c r="BK10" s="1831">
        <v>10</v>
      </c>
      <c r="BL10" s="1831">
        <v>10</v>
      </c>
      <c r="BM10" s="1836">
        <v>1785</v>
      </c>
      <c r="BN10" s="1841">
        <v>12</v>
      </c>
      <c r="BO10" s="1831"/>
      <c r="BP10" s="1831"/>
      <c r="BQ10" s="1836"/>
      <c r="BR10" s="1841"/>
      <c r="BS10" s="1831"/>
      <c r="BT10" s="1831">
        <f>BS10</f>
        <v>0</v>
      </c>
      <c r="BU10" s="1836"/>
      <c r="BV10" s="1841"/>
      <c r="BW10" s="1831"/>
      <c r="BX10" s="1831"/>
      <c r="BY10" s="1836"/>
      <c r="BZ10" s="1841">
        <v>100</v>
      </c>
      <c r="CA10" s="1831">
        <v>66</v>
      </c>
      <c r="CB10" s="1831">
        <f t="shared" si="3"/>
        <v>66</v>
      </c>
      <c r="CC10" s="1836">
        <v>600</v>
      </c>
      <c r="CD10" s="1841">
        <v>19.92</v>
      </c>
      <c r="CE10" s="1831">
        <v>17</v>
      </c>
      <c r="CF10" s="1831">
        <v>16</v>
      </c>
      <c r="CG10" s="1836">
        <v>36.15</v>
      </c>
      <c r="CH10" s="1841">
        <v>833.8</v>
      </c>
      <c r="CI10" s="1831">
        <v>172</v>
      </c>
      <c r="CJ10" s="1831">
        <v>172</v>
      </c>
      <c r="CK10" s="1836">
        <v>1279.8</v>
      </c>
      <c r="CL10" s="1841">
        <v>218</v>
      </c>
      <c r="CM10" s="1831">
        <v>37</v>
      </c>
      <c r="CN10" s="1831">
        <v>37</v>
      </c>
      <c r="CO10" s="1836">
        <v>272</v>
      </c>
      <c r="CP10" s="1841">
        <v>10265.53</v>
      </c>
      <c r="CQ10" s="1831">
        <v>9547</v>
      </c>
      <c r="CR10" s="1831">
        <v>9159</v>
      </c>
      <c r="CS10" s="1836">
        <v>21241.94</v>
      </c>
      <c r="CT10" s="1872">
        <f t="shared" si="4"/>
        <v>12393.98</v>
      </c>
      <c r="CU10" s="1872">
        <f t="shared" si="5"/>
        <v>10003</v>
      </c>
      <c r="CV10" s="1872">
        <f t="shared" si="6"/>
        <v>9610</v>
      </c>
      <c r="CW10" s="1872">
        <f t="shared" si="7"/>
        <v>26783.29</v>
      </c>
    </row>
    <row r="11" spans="1:101" ht="16.5">
      <c r="A11" s="1848" t="s">
        <v>583</v>
      </c>
      <c r="B11" s="1842">
        <v>886</v>
      </c>
      <c r="C11" s="1831">
        <v>22</v>
      </c>
      <c r="D11" s="1832">
        <v>22</v>
      </c>
      <c r="E11" s="1850">
        <v>1760</v>
      </c>
      <c r="F11" s="1835">
        <v>61</v>
      </c>
      <c r="G11" s="1831">
        <v>2</v>
      </c>
      <c r="H11" s="1831">
        <v>2</v>
      </c>
      <c r="I11" s="1836">
        <v>750</v>
      </c>
      <c r="J11" s="1841">
        <v>25</v>
      </c>
      <c r="K11" s="1831">
        <v>1</v>
      </c>
      <c r="L11" s="1831">
        <v>1</v>
      </c>
      <c r="M11" s="1836">
        <v>31.3</v>
      </c>
      <c r="N11" s="1841">
        <v>1323</v>
      </c>
      <c r="O11" s="1831">
        <v>50</v>
      </c>
      <c r="P11" s="1831">
        <v>37</v>
      </c>
      <c r="Q11" s="1836">
        <v>1132</v>
      </c>
      <c r="R11" s="1841">
        <v>8</v>
      </c>
      <c r="S11" s="1831">
        <v>21</v>
      </c>
      <c r="T11" s="1831">
        <v>20</v>
      </c>
      <c r="U11" s="1836">
        <v>52</v>
      </c>
      <c r="V11" s="1841">
        <v>55</v>
      </c>
      <c r="W11" s="1831">
        <v>3</v>
      </c>
      <c r="X11" s="1831">
        <v>3</v>
      </c>
      <c r="Y11" s="1836">
        <v>68.8</v>
      </c>
      <c r="Z11" s="1841">
        <v>300.48</v>
      </c>
      <c r="AA11" s="1831">
        <v>5</v>
      </c>
      <c r="AB11" s="1831">
        <v>5</v>
      </c>
      <c r="AC11" s="1836">
        <v>1819.35</v>
      </c>
      <c r="AD11" s="1841">
        <v>55</v>
      </c>
      <c r="AE11" s="1831">
        <v>20</v>
      </c>
      <c r="AF11" s="1831">
        <v>11</v>
      </c>
      <c r="AG11" s="1836">
        <v>174</v>
      </c>
      <c r="AH11" s="1841">
        <v>1337.36</v>
      </c>
      <c r="AI11" s="1831">
        <v>300</v>
      </c>
      <c r="AJ11" s="1831">
        <v>292</v>
      </c>
      <c r="AK11" s="1836">
        <v>5644.17</v>
      </c>
      <c r="AL11" s="1841">
        <v>77</v>
      </c>
      <c r="AM11" s="1831">
        <v>25</v>
      </c>
      <c r="AN11" s="1831">
        <v>7</v>
      </c>
      <c r="AO11" s="1836">
        <v>127</v>
      </c>
      <c r="AP11" s="1841">
        <v>4090.4</v>
      </c>
      <c r="AQ11" s="1831">
        <v>512</v>
      </c>
      <c r="AR11" s="1831">
        <v>573</v>
      </c>
      <c r="AS11" s="1836">
        <v>18098.42</v>
      </c>
      <c r="AT11" s="1841">
        <v>6350</v>
      </c>
      <c r="AU11" s="1831">
        <v>864</v>
      </c>
      <c r="AV11" s="1831">
        <v>857</v>
      </c>
      <c r="AW11" s="1836">
        <v>43667.4</v>
      </c>
      <c r="AX11" s="1841">
        <v>1912</v>
      </c>
      <c r="AY11" s="1831">
        <v>387</v>
      </c>
      <c r="AZ11" s="1831">
        <v>293</v>
      </c>
      <c r="BA11" s="1836">
        <v>3192</v>
      </c>
      <c r="BB11" s="1841">
        <v>339.73</v>
      </c>
      <c r="BC11" s="1831">
        <v>63</v>
      </c>
      <c r="BD11" s="1831">
        <f t="shared" si="2"/>
        <v>63</v>
      </c>
      <c r="BE11" s="1836">
        <v>384</v>
      </c>
      <c r="BF11" s="1841">
        <v>6631.4</v>
      </c>
      <c r="BG11" s="1831">
        <v>591</v>
      </c>
      <c r="BH11" s="1831">
        <v>534</v>
      </c>
      <c r="BI11" s="1836">
        <v>69993.63</v>
      </c>
      <c r="BJ11" s="1841">
        <v>2760</v>
      </c>
      <c r="BK11" s="1831">
        <v>43</v>
      </c>
      <c r="BL11" s="1831">
        <v>39</v>
      </c>
      <c r="BM11" s="1836">
        <v>6347</v>
      </c>
      <c r="BN11" s="1841">
        <v>50</v>
      </c>
      <c r="BO11" s="1831">
        <v>15</v>
      </c>
      <c r="BP11" s="1831">
        <v>15</v>
      </c>
      <c r="BQ11" s="1836">
        <v>66</v>
      </c>
      <c r="BR11" s="1841">
        <v>267</v>
      </c>
      <c r="BS11" s="1831">
        <v>73</v>
      </c>
      <c r="BT11" s="1831">
        <v>63</v>
      </c>
      <c r="BU11" s="1836">
        <v>493</v>
      </c>
      <c r="BV11" s="1841"/>
      <c r="BW11" s="1831"/>
      <c r="BX11" s="1831"/>
      <c r="BY11" s="1836"/>
      <c r="BZ11" s="1841">
        <v>26300</v>
      </c>
      <c r="CA11" s="1831">
        <v>3530</v>
      </c>
      <c r="CB11" s="1831">
        <f t="shared" si="3"/>
        <v>3530</v>
      </c>
      <c r="CC11" s="1836">
        <v>18200</v>
      </c>
      <c r="CD11" s="1841">
        <v>550.88</v>
      </c>
      <c r="CE11" s="1831">
        <v>155</v>
      </c>
      <c r="CF11" s="1831">
        <v>142</v>
      </c>
      <c r="CG11" s="1836">
        <v>824.54</v>
      </c>
      <c r="CH11" s="1841"/>
      <c r="CI11" s="1831"/>
      <c r="CJ11" s="1831"/>
      <c r="CK11" s="1836"/>
      <c r="CL11" s="1841"/>
      <c r="CM11" s="1831"/>
      <c r="CN11" s="1831"/>
      <c r="CO11" s="1836"/>
      <c r="CP11" s="1841">
        <v>70769.79</v>
      </c>
      <c r="CQ11" s="1831">
        <v>24177</v>
      </c>
      <c r="CR11" s="1831">
        <v>21095</v>
      </c>
      <c r="CS11" s="1836">
        <v>131381.35</v>
      </c>
      <c r="CT11" s="1872">
        <f t="shared" si="4"/>
        <v>124149.03999999998</v>
      </c>
      <c r="CU11" s="1872">
        <f t="shared" si="5"/>
        <v>30859</v>
      </c>
      <c r="CV11" s="1872">
        <f t="shared" si="6"/>
        <v>27604</v>
      </c>
      <c r="CW11" s="1872">
        <f t="shared" si="7"/>
        <v>304205.96</v>
      </c>
    </row>
    <row r="12" spans="1:101" ht="16.5">
      <c r="A12" s="1847" t="s">
        <v>593</v>
      </c>
      <c r="B12" s="1841"/>
      <c r="C12" s="1831"/>
      <c r="D12" s="1831"/>
      <c r="E12" s="1850"/>
      <c r="F12" s="1835"/>
      <c r="G12" s="1831"/>
      <c r="H12" s="1831"/>
      <c r="I12" s="1836"/>
      <c r="J12" s="1841"/>
      <c r="K12" s="1831"/>
      <c r="L12" s="1831"/>
      <c r="M12" s="1836"/>
      <c r="N12" s="1841"/>
      <c r="O12" s="1831"/>
      <c r="P12" s="1831"/>
      <c r="Q12" s="1836"/>
      <c r="R12" s="1841"/>
      <c r="S12" s="1831"/>
      <c r="T12" s="1831"/>
      <c r="U12" s="1836"/>
      <c r="V12" s="1841"/>
      <c r="W12" s="1831"/>
      <c r="X12" s="1831"/>
      <c r="Y12" s="1836"/>
      <c r="Z12" s="1841"/>
      <c r="AA12" s="1831"/>
      <c r="AB12" s="1831"/>
      <c r="AC12" s="1836"/>
      <c r="AD12" s="1841"/>
      <c r="AE12" s="1831"/>
      <c r="AF12" s="1831"/>
      <c r="AG12" s="1836"/>
      <c r="AH12" s="1841"/>
      <c r="AI12" s="1831"/>
      <c r="AJ12" s="1831"/>
      <c r="AK12" s="1836"/>
      <c r="AL12" s="1841"/>
      <c r="AM12" s="1831"/>
      <c r="AN12" s="1831"/>
      <c r="AO12" s="1836"/>
      <c r="AP12" s="1841"/>
      <c r="AQ12" s="1831"/>
      <c r="AR12" s="1831"/>
      <c r="AS12" s="1836"/>
      <c r="AT12" s="1841"/>
      <c r="AU12" s="1831"/>
      <c r="AV12" s="1831"/>
      <c r="AW12" s="1836"/>
      <c r="AX12" s="1841"/>
      <c r="AY12" s="1831"/>
      <c r="AZ12" s="1831"/>
      <c r="BA12" s="1836"/>
      <c r="BB12" s="1841"/>
      <c r="BC12" s="1831"/>
      <c r="BD12" s="1831"/>
      <c r="BE12" s="1836"/>
      <c r="BF12" s="1841"/>
      <c r="BG12" s="1831"/>
      <c r="BH12" s="1831"/>
      <c r="BI12" s="1836"/>
      <c r="BJ12" s="1841"/>
      <c r="BK12" s="1831"/>
      <c r="BL12" s="1831"/>
      <c r="BM12" s="1836"/>
      <c r="BN12" s="1841"/>
      <c r="BO12" s="1831"/>
      <c r="BP12" s="1831"/>
      <c r="BQ12" s="1836"/>
      <c r="BR12" s="1841"/>
      <c r="BS12" s="1831"/>
      <c r="BT12" s="1831"/>
      <c r="BU12" s="1836"/>
      <c r="BV12" s="1841"/>
      <c r="BW12" s="1831"/>
      <c r="BX12" s="1831"/>
      <c r="BY12" s="1836"/>
      <c r="BZ12" s="1841"/>
      <c r="CA12" s="1831"/>
      <c r="CB12" s="1831"/>
      <c r="CC12" s="1836"/>
      <c r="CD12" s="1841"/>
      <c r="CE12" s="1831"/>
      <c r="CF12" s="1831"/>
      <c r="CG12" s="1836"/>
      <c r="CH12" s="1841"/>
      <c r="CI12" s="1831"/>
      <c r="CJ12" s="1831"/>
      <c r="CK12" s="1836"/>
      <c r="CL12" s="1841"/>
      <c r="CM12" s="1831"/>
      <c r="CN12" s="1831"/>
      <c r="CO12" s="1836"/>
      <c r="CP12" s="1841"/>
      <c r="CQ12" s="1831"/>
      <c r="CR12" s="1831"/>
      <c r="CS12" s="1836"/>
      <c r="CT12" s="1872">
        <f t="shared" si="4"/>
        <v>0</v>
      </c>
      <c r="CU12" s="1872">
        <f t="shared" si="5"/>
        <v>0</v>
      </c>
      <c r="CV12" s="1872">
        <f t="shared" si="6"/>
        <v>0</v>
      </c>
      <c r="CW12" s="1872">
        <f t="shared" si="7"/>
        <v>0</v>
      </c>
    </row>
    <row r="13" spans="1:101" ht="16.5">
      <c r="A13" s="1848" t="s">
        <v>584</v>
      </c>
      <c r="B13" s="1842"/>
      <c r="C13" s="1831"/>
      <c r="D13" s="1832"/>
      <c r="E13" s="1850"/>
      <c r="F13" s="1835"/>
      <c r="G13" s="1831"/>
      <c r="H13" s="1831"/>
      <c r="I13" s="1836"/>
      <c r="J13" s="1841">
        <v>87.4</v>
      </c>
      <c r="K13" s="1831">
        <v>31</v>
      </c>
      <c r="L13" s="1831">
        <v>30</v>
      </c>
      <c r="M13" s="1836"/>
      <c r="N13" s="1841">
        <v>-8</v>
      </c>
      <c r="O13" s="1831">
        <v>1</v>
      </c>
      <c r="P13" s="1831">
        <v>1</v>
      </c>
      <c r="Q13" s="1836"/>
      <c r="R13" s="1841"/>
      <c r="S13" s="1831"/>
      <c r="T13" s="1831"/>
      <c r="U13" s="1836"/>
      <c r="V13" s="1841">
        <v>12.8</v>
      </c>
      <c r="W13" s="1831">
        <v>7</v>
      </c>
      <c r="X13" s="1831">
        <v>7</v>
      </c>
      <c r="Y13" s="1836">
        <v>12.8</v>
      </c>
      <c r="Z13" s="1841"/>
      <c r="AA13" s="1831"/>
      <c r="AB13" s="1831"/>
      <c r="AC13" s="1836"/>
      <c r="AD13" s="1841"/>
      <c r="AE13" s="1831"/>
      <c r="AF13" s="1831"/>
      <c r="AG13" s="1836"/>
      <c r="AH13" s="1841"/>
      <c r="AI13" s="1831"/>
      <c r="AJ13" s="1831"/>
      <c r="AK13" s="1836"/>
      <c r="AL13" s="1841">
        <v>2</v>
      </c>
      <c r="AM13" s="1831">
        <v>4</v>
      </c>
      <c r="AN13" s="1831">
        <v>4</v>
      </c>
      <c r="AO13" s="1836"/>
      <c r="AP13" s="1841">
        <v>76.19</v>
      </c>
      <c r="AQ13" s="1831">
        <v>215</v>
      </c>
      <c r="AR13" s="1831">
        <v>222</v>
      </c>
      <c r="AS13" s="1836">
        <v>5.3</v>
      </c>
      <c r="AT13" s="1841">
        <v>461.9</v>
      </c>
      <c r="AU13" s="1831">
        <v>301</v>
      </c>
      <c r="AV13" s="1831">
        <f>AU13</f>
        <v>301</v>
      </c>
      <c r="AW13" s="1836">
        <v>328.6</v>
      </c>
      <c r="AX13" s="1841"/>
      <c r="AY13" s="1831"/>
      <c r="AZ13" s="1831"/>
      <c r="BA13" s="1836"/>
      <c r="BB13" s="1841"/>
      <c r="BC13" s="1831"/>
      <c r="BD13" s="1831"/>
      <c r="BE13" s="1836"/>
      <c r="BF13" s="1841"/>
      <c r="BG13" s="1831"/>
      <c r="BH13" s="1831"/>
      <c r="BI13" s="1836"/>
      <c r="BJ13" s="1841">
        <v>20</v>
      </c>
      <c r="BK13" s="1831"/>
      <c r="BL13" s="1831"/>
      <c r="BM13" s="1836">
        <v>12</v>
      </c>
      <c r="BN13" s="1841">
        <v>96</v>
      </c>
      <c r="BO13" s="1831">
        <v>66</v>
      </c>
      <c r="BP13" s="1831">
        <v>60</v>
      </c>
      <c r="BQ13" s="1836">
        <v>15</v>
      </c>
      <c r="BR13" s="1841"/>
      <c r="BS13" s="1831"/>
      <c r="BT13" s="1831"/>
      <c r="BU13" s="1836"/>
      <c r="BV13" s="1841"/>
      <c r="BW13" s="1831"/>
      <c r="BX13" s="1831"/>
      <c r="BY13" s="1836"/>
      <c r="BZ13" s="1841"/>
      <c r="CA13" s="1831"/>
      <c r="CB13" s="1831"/>
      <c r="CC13" s="1836"/>
      <c r="CD13" s="1841"/>
      <c r="CE13" s="1831"/>
      <c r="CF13" s="1831"/>
      <c r="CG13" s="1836"/>
      <c r="CH13" s="1841"/>
      <c r="CI13" s="1831"/>
      <c r="CJ13" s="1831"/>
      <c r="CK13" s="1836"/>
      <c r="CL13" s="1841"/>
      <c r="CM13" s="1831"/>
      <c r="CN13" s="1831"/>
      <c r="CO13" s="1836"/>
      <c r="CP13" s="1841">
        <v>2</v>
      </c>
      <c r="CQ13" s="1831">
        <v>4</v>
      </c>
      <c r="CR13" s="1831">
        <v>4</v>
      </c>
      <c r="CS13" s="1836"/>
      <c r="CT13" s="1872">
        <f aca="true" t="shared" si="8" ref="CT13:CT67">B13+F13+J13+N13+R13+V13+Z13+AD13+AH13+AL13+AP13+AT13+AX13+BB13+BF13+BJ13+BN13+BR13+BV13+BZ13+CD13+CH13+CL13+CP13</f>
        <v>750.29</v>
      </c>
      <c r="CU13" s="1872">
        <f aca="true" t="shared" si="9" ref="CU13:CU67">C13+G13+K13+O13+S13+W13+AA13+AE13+AI13+AM13+AQ13+AU13+AY13+BC13+BG13+BK13+BO13+BS13+BW13+CA13+CE13+CI13+CM13+CQ13</f>
        <v>629</v>
      </c>
      <c r="CV13" s="1872">
        <f aca="true" t="shared" si="10" ref="CV13:CV67">D13+H13+L13+P13+T13+X13+AB13+AF13+AJ13+AN13+AR13+AV13+AZ13+BD13+BH13+BL13+BP13+BT13+BX13+CB13+CF13+CJ13+CN13+CR13</f>
        <v>629</v>
      </c>
      <c r="CW13" s="1872">
        <f aca="true" t="shared" si="11" ref="CW13:CW67">E13+I13+M13+Q13+U13+Y13+AC13+AG13+AK13+AO13+AS13+AW13+BA13+BE13+BI13+BM13+BQ13+BU13+BY13+CC13+CG13+CK13+CO13+CS13</f>
        <v>373.70000000000005</v>
      </c>
    </row>
    <row r="14" spans="1:101" ht="16.5">
      <c r="A14" s="1848" t="s">
        <v>585</v>
      </c>
      <c r="B14" s="1843"/>
      <c r="C14" s="1831"/>
      <c r="D14" s="1833"/>
      <c r="E14" s="1850"/>
      <c r="F14" s="1835"/>
      <c r="G14" s="1831"/>
      <c r="H14" s="1831"/>
      <c r="I14" s="1836"/>
      <c r="J14" s="1841">
        <v>55.7</v>
      </c>
      <c r="K14" s="1831">
        <v>9</v>
      </c>
      <c r="L14" s="1831">
        <v>9</v>
      </c>
      <c r="M14" s="1836"/>
      <c r="N14" s="1841"/>
      <c r="O14" s="1831"/>
      <c r="P14" s="1831"/>
      <c r="Q14" s="1836"/>
      <c r="R14" s="1841"/>
      <c r="S14" s="1831"/>
      <c r="T14" s="1831"/>
      <c r="U14" s="1836"/>
      <c r="V14" s="1841">
        <v>49.2</v>
      </c>
      <c r="W14" s="1831">
        <v>6</v>
      </c>
      <c r="X14" s="1831">
        <v>5</v>
      </c>
      <c r="Y14" s="1836">
        <v>49.2</v>
      </c>
      <c r="Z14" s="1841"/>
      <c r="AA14" s="1831"/>
      <c r="AB14" s="1831"/>
      <c r="AC14" s="1836"/>
      <c r="AD14" s="1841"/>
      <c r="AE14" s="1831"/>
      <c r="AF14" s="1831"/>
      <c r="AG14" s="1836"/>
      <c r="AH14" s="1841">
        <v>-2.44</v>
      </c>
      <c r="AI14" s="1831">
        <v>-3</v>
      </c>
      <c r="AJ14" s="1831">
        <v>-3</v>
      </c>
      <c r="AK14" s="1836">
        <v>-0.12</v>
      </c>
      <c r="AL14" s="1841">
        <v>6</v>
      </c>
      <c r="AM14" s="1831">
        <v>7</v>
      </c>
      <c r="AN14" s="1831">
        <v>6</v>
      </c>
      <c r="AO14" s="1836"/>
      <c r="AP14" s="1841">
        <v>405.12</v>
      </c>
      <c r="AQ14" s="1831">
        <v>511</v>
      </c>
      <c r="AR14" s="1831">
        <v>549</v>
      </c>
      <c r="AS14" s="1836">
        <v>28.53</v>
      </c>
      <c r="AT14" s="1841">
        <v>333</v>
      </c>
      <c r="AU14" s="1831">
        <v>79</v>
      </c>
      <c r="AV14" s="1831">
        <v>82</v>
      </c>
      <c r="AW14" s="1836">
        <v>282.1</v>
      </c>
      <c r="AX14" s="1841"/>
      <c r="AY14" s="1831"/>
      <c r="AZ14" s="1831"/>
      <c r="BA14" s="1836"/>
      <c r="BB14" s="1841"/>
      <c r="BC14" s="1831"/>
      <c r="BD14" s="1831"/>
      <c r="BE14" s="1836"/>
      <c r="BF14" s="1841">
        <v>1</v>
      </c>
      <c r="BG14" s="1831">
        <v>1</v>
      </c>
      <c r="BH14" s="1831">
        <f>BG14</f>
        <v>1</v>
      </c>
      <c r="BI14" s="1836">
        <v>0.16</v>
      </c>
      <c r="BJ14" s="1841">
        <v>1</v>
      </c>
      <c r="BK14" s="1831">
        <v>1</v>
      </c>
      <c r="BL14" s="1831">
        <f aca="true" t="shared" si="12" ref="BL14:BL19">BK14</f>
        <v>1</v>
      </c>
      <c r="BM14" s="1836">
        <v>9</v>
      </c>
      <c r="BN14" s="1841">
        <v>22</v>
      </c>
      <c r="BO14" s="1831"/>
      <c r="BP14" s="1831"/>
      <c r="BQ14" s="1836"/>
      <c r="BR14" s="1841">
        <v>19</v>
      </c>
      <c r="BS14" s="1831">
        <v>23</v>
      </c>
      <c r="BT14" s="1831">
        <v>22</v>
      </c>
      <c r="BU14" s="1836">
        <v>1</v>
      </c>
      <c r="BV14" s="1841"/>
      <c r="BW14" s="1831"/>
      <c r="BX14" s="1831"/>
      <c r="BY14" s="1836"/>
      <c r="BZ14" s="1841"/>
      <c r="CA14" s="1831"/>
      <c r="CB14" s="1831"/>
      <c r="CC14" s="1836"/>
      <c r="CD14" s="1841"/>
      <c r="CE14" s="1831"/>
      <c r="CF14" s="1831"/>
      <c r="CG14" s="1836"/>
      <c r="CH14" s="1841">
        <v>1</v>
      </c>
      <c r="CI14" s="1831">
        <v>1</v>
      </c>
      <c r="CJ14" s="1831">
        <f aca="true" t="shared" si="13" ref="CJ14:CJ19">CI14</f>
        <v>1</v>
      </c>
      <c r="CK14" s="1836"/>
      <c r="CL14" s="1841">
        <v>5</v>
      </c>
      <c r="CM14" s="1831">
        <v>5</v>
      </c>
      <c r="CN14" s="1831">
        <f>CM14</f>
        <v>5</v>
      </c>
      <c r="CO14" s="1836">
        <v>5</v>
      </c>
      <c r="CP14" s="1841">
        <v>2938.65</v>
      </c>
      <c r="CQ14" s="1831">
        <v>2945</v>
      </c>
      <c r="CR14" s="1831">
        <v>2751</v>
      </c>
      <c r="CS14" s="1836">
        <v>9.5</v>
      </c>
      <c r="CT14" s="1872">
        <f t="shared" si="8"/>
        <v>3834.23</v>
      </c>
      <c r="CU14" s="1872">
        <f t="shared" si="9"/>
        <v>3585</v>
      </c>
      <c r="CV14" s="1872">
        <f t="shared" si="10"/>
        <v>3429</v>
      </c>
      <c r="CW14" s="1872">
        <f t="shared" si="11"/>
        <v>384.37000000000006</v>
      </c>
    </row>
    <row r="15" spans="1:101" ht="16.5">
      <c r="A15" s="1848" t="s">
        <v>586</v>
      </c>
      <c r="B15" s="1842"/>
      <c r="C15" s="1831"/>
      <c r="D15" s="1832"/>
      <c r="E15" s="1850"/>
      <c r="F15" s="1835"/>
      <c r="G15" s="1831"/>
      <c r="H15" s="1831"/>
      <c r="I15" s="1836"/>
      <c r="J15" s="1841">
        <v>35.2</v>
      </c>
      <c r="K15" s="1831">
        <v>3</v>
      </c>
      <c r="L15" s="1831">
        <v>3</v>
      </c>
      <c r="M15" s="1836"/>
      <c r="N15" s="1841"/>
      <c r="O15" s="1831"/>
      <c r="P15" s="1831"/>
      <c r="Q15" s="1836"/>
      <c r="R15" s="1841"/>
      <c r="S15" s="1831"/>
      <c r="T15" s="1831"/>
      <c r="U15" s="1836"/>
      <c r="V15" s="1841">
        <v>29.5</v>
      </c>
      <c r="W15" s="1831">
        <v>2</v>
      </c>
      <c r="X15" s="1831">
        <v>2</v>
      </c>
      <c r="Y15" s="1836">
        <v>29.5</v>
      </c>
      <c r="Z15" s="1841"/>
      <c r="AA15" s="1831"/>
      <c r="AB15" s="1831"/>
      <c r="AC15" s="1836"/>
      <c r="AD15" s="1841"/>
      <c r="AE15" s="1831"/>
      <c r="AF15" s="1831"/>
      <c r="AG15" s="1836"/>
      <c r="AH15" s="1841">
        <v>-2.6</v>
      </c>
      <c r="AI15" s="1831">
        <v>-2</v>
      </c>
      <c r="AJ15" s="1831">
        <v>-2</v>
      </c>
      <c r="AK15" s="1836">
        <v>-0.12</v>
      </c>
      <c r="AL15" s="1841">
        <v>7</v>
      </c>
      <c r="AM15" s="1831">
        <v>6</v>
      </c>
      <c r="AN15" s="1831">
        <v>6</v>
      </c>
      <c r="AO15" s="1836">
        <v>1</v>
      </c>
      <c r="AP15" s="1841">
        <v>692.89</v>
      </c>
      <c r="AQ15" s="1831">
        <v>554</v>
      </c>
      <c r="AR15" s="1831">
        <v>581</v>
      </c>
      <c r="AS15" s="1836">
        <v>48.7</v>
      </c>
      <c r="AT15" s="1841">
        <v>315.6</v>
      </c>
      <c r="AU15" s="1831">
        <v>82</v>
      </c>
      <c r="AV15" s="1831">
        <v>92</v>
      </c>
      <c r="AW15" s="1836">
        <v>287.9</v>
      </c>
      <c r="AX15" s="1841"/>
      <c r="AY15" s="1831"/>
      <c r="AZ15" s="1831"/>
      <c r="BA15" s="1836"/>
      <c r="BB15" s="1841">
        <v>22</v>
      </c>
      <c r="BC15" s="1831">
        <v>3</v>
      </c>
      <c r="BD15" s="1831">
        <v>3</v>
      </c>
      <c r="BE15" s="1836">
        <v>22</v>
      </c>
      <c r="BF15" s="1841">
        <v>2.49</v>
      </c>
      <c r="BG15" s="1831">
        <v>2</v>
      </c>
      <c r="BH15" s="1831">
        <f>BG15</f>
        <v>2</v>
      </c>
      <c r="BI15" s="1836">
        <v>0.28</v>
      </c>
      <c r="BJ15" s="1841">
        <v>6</v>
      </c>
      <c r="BK15" s="1831">
        <v>4</v>
      </c>
      <c r="BL15" s="1831">
        <f t="shared" si="12"/>
        <v>4</v>
      </c>
      <c r="BM15" s="1836">
        <v>1</v>
      </c>
      <c r="BN15" s="1841">
        <v>7</v>
      </c>
      <c r="BO15" s="1831">
        <v>1</v>
      </c>
      <c r="BP15" s="1831">
        <v>1</v>
      </c>
      <c r="BQ15" s="1836"/>
      <c r="BR15" s="1841">
        <v>102</v>
      </c>
      <c r="BS15" s="1831">
        <v>84</v>
      </c>
      <c r="BT15" s="1831">
        <v>75</v>
      </c>
      <c r="BU15" s="1836">
        <v>6</v>
      </c>
      <c r="BV15" s="1841"/>
      <c r="BW15" s="1831"/>
      <c r="BX15" s="1831"/>
      <c r="BY15" s="1836"/>
      <c r="BZ15" s="1841"/>
      <c r="CA15" s="1831"/>
      <c r="CB15" s="1831"/>
      <c r="CC15" s="1836"/>
      <c r="CD15" s="1841"/>
      <c r="CE15" s="1831"/>
      <c r="CF15" s="1831"/>
      <c r="CG15" s="1836"/>
      <c r="CH15" s="1841">
        <v>1.48</v>
      </c>
      <c r="CI15" s="1831">
        <v>1</v>
      </c>
      <c r="CJ15" s="1831">
        <f t="shared" si="13"/>
        <v>1</v>
      </c>
      <c r="CK15" s="1836">
        <v>0.08</v>
      </c>
      <c r="CL15" s="1841">
        <v>46</v>
      </c>
      <c r="CM15" s="1831">
        <v>35</v>
      </c>
      <c r="CN15" s="1831">
        <f>CM15</f>
        <v>35</v>
      </c>
      <c r="CO15" s="1836">
        <v>46</v>
      </c>
      <c r="CP15" s="1841">
        <v>7454.2</v>
      </c>
      <c r="CQ15" s="1831">
        <v>5131</v>
      </c>
      <c r="CR15" s="1831">
        <v>4789</v>
      </c>
      <c r="CS15" s="1836">
        <v>25.45</v>
      </c>
      <c r="CT15" s="1872">
        <f t="shared" si="8"/>
        <v>8718.76</v>
      </c>
      <c r="CU15" s="1872">
        <f t="shared" si="9"/>
        <v>5906</v>
      </c>
      <c r="CV15" s="1872">
        <f t="shared" si="10"/>
        <v>5592</v>
      </c>
      <c r="CW15" s="1872">
        <f t="shared" si="11"/>
        <v>467.7899999999999</v>
      </c>
    </row>
    <row r="16" spans="1:101" ht="16.5">
      <c r="A16" s="1848" t="s">
        <v>587</v>
      </c>
      <c r="B16" s="1843"/>
      <c r="C16" s="1831"/>
      <c r="D16" s="1833"/>
      <c r="E16" s="1850"/>
      <c r="F16" s="1835"/>
      <c r="G16" s="1831"/>
      <c r="H16" s="1831"/>
      <c r="I16" s="1836"/>
      <c r="J16" s="1841">
        <v>15.7</v>
      </c>
      <c r="K16" s="1831">
        <v>1</v>
      </c>
      <c r="L16" s="1831">
        <v>1</v>
      </c>
      <c r="M16" s="1836"/>
      <c r="N16" s="1841"/>
      <c r="O16" s="1831"/>
      <c r="P16" s="1831"/>
      <c r="Q16" s="1836"/>
      <c r="R16" s="1841"/>
      <c r="S16" s="1831"/>
      <c r="T16" s="1831"/>
      <c r="U16" s="1836"/>
      <c r="V16" s="1841">
        <v>39.3</v>
      </c>
      <c r="W16" s="1831">
        <v>2</v>
      </c>
      <c r="X16" s="1831">
        <v>2</v>
      </c>
      <c r="Y16" s="1836">
        <v>39.3</v>
      </c>
      <c r="Z16" s="1841"/>
      <c r="AA16" s="1831"/>
      <c r="AB16" s="1831"/>
      <c r="AC16" s="1836"/>
      <c r="AD16" s="1841">
        <v>2</v>
      </c>
      <c r="AE16" s="1831">
        <v>1</v>
      </c>
      <c r="AF16" s="1831">
        <v>1</v>
      </c>
      <c r="AG16" s="1836">
        <v>2</v>
      </c>
      <c r="AH16" s="1841"/>
      <c r="AI16" s="1831"/>
      <c r="AJ16" s="1831"/>
      <c r="AK16" s="1836"/>
      <c r="AL16" s="1841">
        <v>16</v>
      </c>
      <c r="AM16" s="1831">
        <v>10</v>
      </c>
      <c r="AN16" s="1831">
        <v>10</v>
      </c>
      <c r="AO16" s="1836">
        <v>1</v>
      </c>
      <c r="AP16" s="1841">
        <v>1303.81</v>
      </c>
      <c r="AQ16" s="1831">
        <v>736</v>
      </c>
      <c r="AR16" s="1831">
        <v>783</v>
      </c>
      <c r="AS16" s="1836">
        <v>93.97</v>
      </c>
      <c r="AT16" s="1841">
        <v>423.4</v>
      </c>
      <c r="AU16" s="1831">
        <v>148</v>
      </c>
      <c r="AV16" s="1831">
        <v>171</v>
      </c>
      <c r="AW16" s="1836">
        <v>390.7</v>
      </c>
      <c r="AX16" s="1841"/>
      <c r="AY16" s="1831"/>
      <c r="AZ16" s="1831"/>
      <c r="BA16" s="1836"/>
      <c r="BB16" s="1841"/>
      <c r="BC16" s="1831"/>
      <c r="BD16" s="1831"/>
      <c r="BE16" s="1836"/>
      <c r="BF16" s="1841">
        <v>78.88</v>
      </c>
      <c r="BG16" s="1831">
        <v>41</v>
      </c>
      <c r="BH16" s="1831">
        <v>34</v>
      </c>
      <c r="BI16" s="1836">
        <v>5.71</v>
      </c>
      <c r="BJ16" s="1841">
        <v>30</v>
      </c>
      <c r="BK16" s="1831">
        <v>16</v>
      </c>
      <c r="BL16" s="1831">
        <f t="shared" si="12"/>
        <v>16</v>
      </c>
      <c r="BM16" s="1836">
        <v>2</v>
      </c>
      <c r="BN16" s="1841">
        <v>-20</v>
      </c>
      <c r="BO16" s="1831"/>
      <c r="BP16" s="1831"/>
      <c r="BQ16" s="1836"/>
      <c r="BR16" s="1841">
        <v>60</v>
      </c>
      <c r="BS16" s="1831">
        <v>34</v>
      </c>
      <c r="BT16" s="1831">
        <v>31</v>
      </c>
      <c r="BU16" s="1836">
        <v>4</v>
      </c>
      <c r="BV16" s="1841"/>
      <c r="BW16" s="1831"/>
      <c r="BX16" s="1831"/>
      <c r="BY16" s="1836"/>
      <c r="BZ16" s="1841"/>
      <c r="CA16" s="1831"/>
      <c r="CB16" s="1831"/>
      <c r="CC16" s="1836"/>
      <c r="CD16" s="1841"/>
      <c r="CE16" s="1831"/>
      <c r="CF16" s="1831"/>
      <c r="CG16" s="1836"/>
      <c r="CH16" s="1841">
        <v>13.96</v>
      </c>
      <c r="CI16" s="1831">
        <v>7</v>
      </c>
      <c r="CJ16" s="1831">
        <f t="shared" si="13"/>
        <v>7</v>
      </c>
      <c r="CK16" s="1836">
        <v>0.36</v>
      </c>
      <c r="CL16" s="1841">
        <v>132</v>
      </c>
      <c r="CM16" s="1831">
        <v>70</v>
      </c>
      <c r="CN16" s="1831">
        <v>74</v>
      </c>
      <c r="CO16" s="1836">
        <v>130</v>
      </c>
      <c r="CP16" s="1841">
        <v>18363.88</v>
      </c>
      <c r="CQ16" s="1831">
        <v>9434</v>
      </c>
      <c r="CR16" s="1831">
        <v>8798</v>
      </c>
      <c r="CS16" s="1836">
        <v>35.25</v>
      </c>
      <c r="CT16" s="1872">
        <f t="shared" si="8"/>
        <v>20458.93</v>
      </c>
      <c r="CU16" s="1872">
        <f t="shared" si="9"/>
        <v>10500</v>
      </c>
      <c r="CV16" s="1872">
        <f t="shared" si="10"/>
        <v>9928</v>
      </c>
      <c r="CW16" s="1872">
        <f t="shared" si="11"/>
        <v>704.2900000000001</v>
      </c>
    </row>
    <row r="17" spans="1:101" ht="16.5">
      <c r="A17" s="1848" t="s">
        <v>588</v>
      </c>
      <c r="B17" s="1843"/>
      <c r="C17" s="1831"/>
      <c r="D17" s="1833"/>
      <c r="E17" s="1850"/>
      <c r="F17" s="1835"/>
      <c r="G17" s="1831"/>
      <c r="H17" s="1831"/>
      <c r="I17" s="1836"/>
      <c r="J17" s="1841">
        <v>46.3</v>
      </c>
      <c r="K17" s="1831">
        <v>2</v>
      </c>
      <c r="L17" s="1831">
        <v>2</v>
      </c>
      <c r="M17" s="1836"/>
      <c r="N17" s="1841"/>
      <c r="O17" s="1831"/>
      <c r="P17" s="1831"/>
      <c r="Q17" s="1836"/>
      <c r="R17" s="1841"/>
      <c r="S17" s="1831"/>
      <c r="T17" s="1831"/>
      <c r="U17" s="1836"/>
      <c r="V17" s="1841">
        <v>49.1</v>
      </c>
      <c r="W17" s="1831">
        <v>2</v>
      </c>
      <c r="X17" s="1831">
        <v>2</v>
      </c>
      <c r="Y17" s="1836">
        <v>49.1</v>
      </c>
      <c r="Z17" s="1841"/>
      <c r="AA17" s="1831"/>
      <c r="AB17" s="1831"/>
      <c r="AC17" s="1836"/>
      <c r="AD17" s="1841">
        <v>3</v>
      </c>
      <c r="AE17" s="1831">
        <v>1</v>
      </c>
      <c r="AF17" s="1831">
        <v>1</v>
      </c>
      <c r="AG17" s="1836">
        <v>3</v>
      </c>
      <c r="AH17" s="1841">
        <v>83.52</v>
      </c>
      <c r="AI17" s="1831">
        <v>37</v>
      </c>
      <c r="AJ17" s="1831">
        <v>35</v>
      </c>
      <c r="AK17" s="1836">
        <v>5.16</v>
      </c>
      <c r="AL17" s="1841">
        <v>7</v>
      </c>
      <c r="AM17" s="1831">
        <v>3</v>
      </c>
      <c r="AN17" s="1831">
        <v>3</v>
      </c>
      <c r="AO17" s="1836">
        <v>1</v>
      </c>
      <c r="AP17" s="1841">
        <v>1477.24</v>
      </c>
      <c r="AQ17" s="1831">
        <v>651</v>
      </c>
      <c r="AR17" s="1831">
        <v>746</v>
      </c>
      <c r="AS17" s="1836">
        <v>106.53</v>
      </c>
      <c r="AT17" s="1841">
        <v>745.8</v>
      </c>
      <c r="AU17" s="1831">
        <v>298</v>
      </c>
      <c r="AV17" s="1831">
        <v>354</v>
      </c>
      <c r="AW17" s="1836">
        <v>638.4</v>
      </c>
      <c r="AX17" s="1841"/>
      <c r="AY17" s="1831"/>
      <c r="AZ17" s="1831"/>
      <c r="BA17" s="1836"/>
      <c r="BB17" s="1841"/>
      <c r="BC17" s="1831"/>
      <c r="BD17" s="1831"/>
      <c r="BE17" s="1836"/>
      <c r="BF17" s="1841">
        <v>62.63</v>
      </c>
      <c r="BG17" s="1831">
        <v>27</v>
      </c>
      <c r="BH17" s="1831">
        <v>25</v>
      </c>
      <c r="BI17" s="1836">
        <v>4.29</v>
      </c>
      <c r="BJ17" s="1841">
        <v>122</v>
      </c>
      <c r="BK17" s="1831">
        <v>52</v>
      </c>
      <c r="BL17" s="1831">
        <f t="shared" si="12"/>
        <v>52</v>
      </c>
      <c r="BM17" s="1836">
        <v>12</v>
      </c>
      <c r="BN17" s="1841">
        <v>25</v>
      </c>
      <c r="BO17" s="1831"/>
      <c r="BP17" s="1831"/>
      <c r="BQ17" s="1836"/>
      <c r="BR17" s="1841">
        <v>47</v>
      </c>
      <c r="BS17" s="1831">
        <v>20</v>
      </c>
      <c r="BT17" s="1831">
        <v>15</v>
      </c>
      <c r="BU17" s="1836">
        <v>3</v>
      </c>
      <c r="BV17" s="1841"/>
      <c r="BW17" s="1831"/>
      <c r="BX17" s="1831"/>
      <c r="BY17" s="1836"/>
      <c r="BZ17" s="1841"/>
      <c r="CA17" s="1831"/>
      <c r="CB17" s="1831"/>
      <c r="CC17" s="1836"/>
      <c r="CD17" s="1841"/>
      <c r="CE17" s="1831"/>
      <c r="CF17" s="1831"/>
      <c r="CG17" s="1836"/>
      <c r="CH17" s="1841">
        <v>4.5</v>
      </c>
      <c r="CI17" s="1831">
        <v>2</v>
      </c>
      <c r="CJ17" s="1831">
        <f t="shared" si="13"/>
        <v>2</v>
      </c>
      <c r="CK17" s="1836">
        <v>0.15</v>
      </c>
      <c r="CL17" s="1841">
        <v>54</v>
      </c>
      <c r="CM17" s="1831">
        <v>24</v>
      </c>
      <c r="CN17" s="1831">
        <v>25</v>
      </c>
      <c r="CO17" s="1836">
        <v>54</v>
      </c>
      <c r="CP17" s="1841">
        <v>5874.82</v>
      </c>
      <c r="CQ17" s="1831">
        <v>2429</v>
      </c>
      <c r="CR17" s="1831">
        <v>2172</v>
      </c>
      <c r="CS17" s="1836">
        <v>5</v>
      </c>
      <c r="CT17" s="1872">
        <f t="shared" si="8"/>
        <v>8601.91</v>
      </c>
      <c r="CU17" s="1872">
        <f t="shared" si="9"/>
        <v>3548</v>
      </c>
      <c r="CV17" s="1872">
        <f t="shared" si="10"/>
        <v>3434</v>
      </c>
      <c r="CW17" s="1872">
        <f t="shared" si="11"/>
        <v>881.63</v>
      </c>
    </row>
    <row r="18" spans="1:101" ht="16.5">
      <c r="A18" s="1848" t="s">
        <v>589</v>
      </c>
      <c r="B18" s="1843"/>
      <c r="C18" s="1831"/>
      <c r="D18" s="1833"/>
      <c r="E18" s="1850"/>
      <c r="F18" s="1835"/>
      <c r="G18" s="1831"/>
      <c r="H18" s="1831"/>
      <c r="I18" s="1836"/>
      <c r="J18" s="1841"/>
      <c r="K18" s="1831"/>
      <c r="L18" s="1831"/>
      <c r="M18" s="1836"/>
      <c r="N18" s="1841">
        <v>14</v>
      </c>
      <c r="O18" s="1831">
        <v>7</v>
      </c>
      <c r="P18" s="1831">
        <v>5</v>
      </c>
      <c r="Q18" s="1836">
        <v>14</v>
      </c>
      <c r="R18" s="1841"/>
      <c r="S18" s="1831"/>
      <c r="T18" s="1831"/>
      <c r="U18" s="1836"/>
      <c r="V18" s="1841">
        <v>88.4</v>
      </c>
      <c r="W18" s="1831">
        <v>3</v>
      </c>
      <c r="X18" s="1831">
        <v>3</v>
      </c>
      <c r="Y18" s="1836">
        <v>88.4</v>
      </c>
      <c r="Z18" s="1841"/>
      <c r="AA18" s="1831"/>
      <c r="AB18" s="1831"/>
      <c r="AC18" s="1836"/>
      <c r="AD18" s="1841"/>
      <c r="AE18" s="1831"/>
      <c r="AF18" s="1831"/>
      <c r="AG18" s="1836"/>
      <c r="AH18" s="1841">
        <v>55.77</v>
      </c>
      <c r="AI18" s="1831">
        <v>21</v>
      </c>
      <c r="AJ18" s="1831">
        <v>20</v>
      </c>
      <c r="AK18" s="1836">
        <v>4.02</v>
      </c>
      <c r="AL18" s="1841"/>
      <c r="AM18" s="1831"/>
      <c r="AN18" s="1831"/>
      <c r="AO18" s="1836"/>
      <c r="AP18" s="1841">
        <v>1669.14</v>
      </c>
      <c r="AQ18" s="1831">
        <v>600</v>
      </c>
      <c r="AR18" s="1831">
        <v>708</v>
      </c>
      <c r="AS18" s="1836">
        <v>122.69</v>
      </c>
      <c r="AT18" s="1841">
        <v>721.6</v>
      </c>
      <c r="AU18" s="1831">
        <v>220</v>
      </c>
      <c r="AV18" s="1831">
        <v>281</v>
      </c>
      <c r="AW18" s="1836">
        <v>684.1</v>
      </c>
      <c r="AX18" s="1841"/>
      <c r="AY18" s="1831"/>
      <c r="AZ18" s="1831"/>
      <c r="BA18" s="1836"/>
      <c r="BB18" s="1841"/>
      <c r="BC18" s="1831"/>
      <c r="BD18" s="1831"/>
      <c r="BE18" s="1836"/>
      <c r="BF18" s="1841">
        <v>80.2</v>
      </c>
      <c r="BG18" s="1831">
        <v>28</v>
      </c>
      <c r="BH18" s="1831">
        <v>30</v>
      </c>
      <c r="BI18" s="1836">
        <v>5.85</v>
      </c>
      <c r="BJ18" s="1841">
        <v>89</v>
      </c>
      <c r="BK18" s="1831">
        <v>32</v>
      </c>
      <c r="BL18" s="1831">
        <f t="shared" si="12"/>
        <v>32</v>
      </c>
      <c r="BM18" s="1836">
        <v>6</v>
      </c>
      <c r="BN18" s="1841">
        <v>-29</v>
      </c>
      <c r="BO18" s="1831"/>
      <c r="BP18" s="1831"/>
      <c r="BQ18" s="1836"/>
      <c r="BR18" s="1841">
        <v>464</v>
      </c>
      <c r="BS18" s="1831">
        <v>72</v>
      </c>
      <c r="BT18" s="1831">
        <v>68</v>
      </c>
      <c r="BU18" s="1836">
        <v>30</v>
      </c>
      <c r="BV18" s="1841"/>
      <c r="BW18" s="1831"/>
      <c r="BX18" s="1831"/>
      <c r="BY18" s="1836"/>
      <c r="BZ18" s="1841"/>
      <c r="CA18" s="1831"/>
      <c r="CB18" s="1831"/>
      <c r="CC18" s="1836"/>
      <c r="CD18" s="1841"/>
      <c r="CE18" s="1831"/>
      <c r="CF18" s="1831"/>
      <c r="CG18" s="1836"/>
      <c r="CH18" s="1841">
        <v>3</v>
      </c>
      <c r="CI18" s="1831">
        <v>1</v>
      </c>
      <c r="CJ18" s="1831">
        <f t="shared" si="13"/>
        <v>1</v>
      </c>
      <c r="CK18" s="1836">
        <v>0.31</v>
      </c>
      <c r="CL18" s="1841">
        <v>61</v>
      </c>
      <c r="CM18" s="1831">
        <v>21</v>
      </c>
      <c r="CN18" s="1831">
        <v>23</v>
      </c>
      <c r="CO18" s="1836">
        <v>61</v>
      </c>
      <c r="CP18" s="1841">
        <v>11350.77</v>
      </c>
      <c r="CQ18" s="1831">
        <v>3829</v>
      </c>
      <c r="CR18" s="1831">
        <v>3622</v>
      </c>
      <c r="CS18" s="1836">
        <v>8</v>
      </c>
      <c r="CT18" s="1872">
        <f t="shared" si="8"/>
        <v>14567.880000000001</v>
      </c>
      <c r="CU18" s="1872">
        <f t="shared" si="9"/>
        <v>4834</v>
      </c>
      <c r="CV18" s="1872">
        <f t="shared" si="10"/>
        <v>4793</v>
      </c>
      <c r="CW18" s="1872">
        <f t="shared" si="11"/>
        <v>1024.37</v>
      </c>
    </row>
    <row r="19" spans="1:101" ht="16.5">
      <c r="A19" s="1848" t="s">
        <v>590</v>
      </c>
      <c r="B19" s="1843"/>
      <c r="C19" s="1831"/>
      <c r="D19" s="1833"/>
      <c r="E19" s="1850"/>
      <c r="F19" s="1835"/>
      <c r="G19" s="1831"/>
      <c r="H19" s="1831"/>
      <c r="I19" s="1836"/>
      <c r="J19" s="1841"/>
      <c r="K19" s="1831"/>
      <c r="L19" s="1831"/>
      <c r="M19" s="1836"/>
      <c r="N19" s="1841">
        <v>145</v>
      </c>
      <c r="O19" s="1831">
        <v>23</v>
      </c>
      <c r="P19" s="1831">
        <v>25</v>
      </c>
      <c r="Q19" s="1836">
        <v>129</v>
      </c>
      <c r="R19" s="1841"/>
      <c r="S19" s="1831"/>
      <c r="T19" s="1831"/>
      <c r="U19" s="1836"/>
      <c r="V19" s="1841">
        <v>1249.8</v>
      </c>
      <c r="W19" s="1831">
        <v>16</v>
      </c>
      <c r="X19" s="1831">
        <v>15</v>
      </c>
      <c r="Y19" s="1836">
        <v>1249.8</v>
      </c>
      <c r="Z19" s="1841"/>
      <c r="AA19" s="1831"/>
      <c r="AB19" s="1831"/>
      <c r="AC19" s="1836"/>
      <c r="AD19" s="1841">
        <v>9</v>
      </c>
      <c r="AE19" s="1831">
        <v>2</v>
      </c>
      <c r="AF19" s="1831">
        <v>2</v>
      </c>
      <c r="AG19" s="1836">
        <v>9</v>
      </c>
      <c r="AH19" s="1841">
        <v>1251.1</v>
      </c>
      <c r="AI19" s="1831">
        <v>90</v>
      </c>
      <c r="AJ19" s="1831">
        <v>90</v>
      </c>
      <c r="AK19" s="1836">
        <v>86.96</v>
      </c>
      <c r="AL19" s="1841">
        <v>9</v>
      </c>
      <c r="AM19" s="1831">
        <v>2</v>
      </c>
      <c r="AN19" s="1831">
        <v>1</v>
      </c>
      <c r="AO19" s="1836">
        <v>1</v>
      </c>
      <c r="AP19" s="1841">
        <v>63873.71</v>
      </c>
      <c r="AQ19" s="1831">
        <v>4901</v>
      </c>
      <c r="AR19" s="1831">
        <v>6123</v>
      </c>
      <c r="AS19" s="1836">
        <v>4843.98</v>
      </c>
      <c r="AT19" s="1841">
        <v>1070.8</v>
      </c>
      <c r="AU19" s="1831">
        <v>1272</v>
      </c>
      <c r="AV19" s="1831">
        <v>1585</v>
      </c>
      <c r="AW19" s="1836">
        <v>15543.2</v>
      </c>
      <c r="AX19" s="1841"/>
      <c r="AY19" s="1831"/>
      <c r="AZ19" s="1831"/>
      <c r="BA19" s="1836"/>
      <c r="BB19" s="1841"/>
      <c r="BC19" s="1831"/>
      <c r="BD19" s="1831"/>
      <c r="BE19" s="1836"/>
      <c r="BF19" s="1841">
        <v>2071.08</v>
      </c>
      <c r="BG19" s="1831">
        <v>139</v>
      </c>
      <c r="BH19" s="1831">
        <v>146</v>
      </c>
      <c r="BI19" s="1836">
        <v>207.18</v>
      </c>
      <c r="BJ19" s="1841">
        <v>1227</v>
      </c>
      <c r="BK19" s="1831">
        <v>131</v>
      </c>
      <c r="BL19" s="1831">
        <f t="shared" si="12"/>
        <v>131</v>
      </c>
      <c r="BM19" s="1836">
        <v>157</v>
      </c>
      <c r="BN19" s="1841">
        <v>98</v>
      </c>
      <c r="BO19" s="1831">
        <v>3</v>
      </c>
      <c r="BP19" s="1831">
        <v>3</v>
      </c>
      <c r="BQ19" s="1836">
        <v>1</v>
      </c>
      <c r="BR19" s="1841"/>
      <c r="BS19" s="1831"/>
      <c r="BT19" s="1831"/>
      <c r="BU19" s="1836"/>
      <c r="BV19" s="1841"/>
      <c r="BW19" s="1831"/>
      <c r="BX19" s="1831"/>
      <c r="BY19" s="1836"/>
      <c r="BZ19" s="1841"/>
      <c r="CA19" s="1831"/>
      <c r="CB19" s="1831"/>
      <c r="CC19" s="1836"/>
      <c r="CD19" s="1841"/>
      <c r="CE19" s="1831"/>
      <c r="CF19" s="1831"/>
      <c r="CG19" s="1836"/>
      <c r="CH19" s="1841">
        <v>435.96</v>
      </c>
      <c r="CI19" s="1831">
        <v>32</v>
      </c>
      <c r="CJ19" s="1831">
        <f t="shared" si="13"/>
        <v>32</v>
      </c>
      <c r="CK19" s="1836">
        <v>19.93</v>
      </c>
      <c r="CL19" s="1841">
        <v>10109</v>
      </c>
      <c r="CM19" s="1831">
        <v>546</v>
      </c>
      <c r="CN19" s="1831">
        <v>587</v>
      </c>
      <c r="CO19" s="1836">
        <v>10445</v>
      </c>
      <c r="CP19" s="1841">
        <v>241291.01</v>
      </c>
      <c r="CQ19" s="1831">
        <v>23672</v>
      </c>
      <c r="CR19" s="1831">
        <v>21726</v>
      </c>
      <c r="CS19" s="1836">
        <v>26.4</v>
      </c>
      <c r="CT19" s="1872">
        <f t="shared" si="8"/>
        <v>322840.46</v>
      </c>
      <c r="CU19" s="1872">
        <f t="shared" si="9"/>
        <v>30829</v>
      </c>
      <c r="CV19" s="1872">
        <f t="shared" si="10"/>
        <v>30466</v>
      </c>
      <c r="CW19" s="1872">
        <f t="shared" si="11"/>
        <v>32719.450000000004</v>
      </c>
    </row>
    <row r="20" spans="1:101" ht="16.5">
      <c r="A20" s="1847" t="s">
        <v>594</v>
      </c>
      <c r="B20" s="1841"/>
      <c r="C20" s="1831"/>
      <c r="D20" s="1831"/>
      <c r="E20" s="1850"/>
      <c r="F20" s="1835"/>
      <c r="G20" s="1831"/>
      <c r="H20" s="1831"/>
      <c r="I20" s="1836"/>
      <c r="J20" s="1841"/>
      <c r="K20" s="1831"/>
      <c r="L20" s="1831"/>
      <c r="M20" s="1836"/>
      <c r="N20" s="1841"/>
      <c r="O20" s="1831"/>
      <c r="P20" s="1831"/>
      <c r="Q20" s="1836"/>
      <c r="R20" s="1841"/>
      <c r="S20" s="1831"/>
      <c r="T20" s="1831"/>
      <c r="U20" s="1836"/>
      <c r="V20" s="1841"/>
      <c r="W20" s="1831"/>
      <c r="X20" s="1831"/>
      <c r="Y20" s="1836"/>
      <c r="Z20" s="1841"/>
      <c r="AA20" s="1831"/>
      <c r="AB20" s="1831"/>
      <c r="AC20" s="1836"/>
      <c r="AD20" s="1841"/>
      <c r="AE20" s="1831"/>
      <c r="AF20" s="1831"/>
      <c r="AG20" s="1836"/>
      <c r="AH20" s="1841"/>
      <c r="AI20" s="1831"/>
      <c r="AJ20" s="1831"/>
      <c r="AK20" s="1836"/>
      <c r="AL20" s="1841"/>
      <c r="AM20" s="1831"/>
      <c r="AN20" s="1831"/>
      <c r="AO20" s="1836"/>
      <c r="AP20" s="1841"/>
      <c r="AQ20" s="1831"/>
      <c r="AR20" s="1831"/>
      <c r="AS20" s="1836"/>
      <c r="AT20" s="1841"/>
      <c r="AU20" s="1831"/>
      <c r="AV20" s="1831"/>
      <c r="AW20" s="1836"/>
      <c r="AX20" s="1841"/>
      <c r="AY20" s="1831"/>
      <c r="AZ20" s="1831"/>
      <c r="BA20" s="1836"/>
      <c r="BB20" s="1841"/>
      <c r="BC20" s="1831"/>
      <c r="BD20" s="1831"/>
      <c r="BE20" s="1836"/>
      <c r="BF20" s="1841"/>
      <c r="BG20" s="1831"/>
      <c r="BH20" s="1831"/>
      <c r="BI20" s="1836"/>
      <c r="BJ20" s="1841"/>
      <c r="BK20" s="1831"/>
      <c r="BL20" s="1831"/>
      <c r="BM20" s="1836"/>
      <c r="BN20" s="1841"/>
      <c r="BO20" s="1831"/>
      <c r="BP20" s="1831"/>
      <c r="BQ20" s="1836"/>
      <c r="BR20" s="1841"/>
      <c r="BS20" s="1831"/>
      <c r="BT20" s="1831"/>
      <c r="BU20" s="1836"/>
      <c r="BV20" s="1841"/>
      <c r="BW20" s="1831"/>
      <c r="BX20" s="1831"/>
      <c r="BY20" s="1836"/>
      <c r="BZ20" s="1841"/>
      <c r="CA20" s="1831"/>
      <c r="CB20" s="1831"/>
      <c r="CC20" s="1836"/>
      <c r="CD20" s="1841"/>
      <c r="CE20" s="1831"/>
      <c r="CF20" s="1831"/>
      <c r="CG20" s="1836"/>
      <c r="CH20" s="1841"/>
      <c r="CI20" s="1831"/>
      <c r="CJ20" s="1831"/>
      <c r="CK20" s="1836"/>
      <c r="CL20" s="1841"/>
      <c r="CM20" s="1831"/>
      <c r="CN20" s="1831"/>
      <c r="CO20" s="1836"/>
      <c r="CP20" s="1841"/>
      <c r="CQ20" s="1831"/>
      <c r="CR20" s="1831"/>
      <c r="CS20" s="1836"/>
      <c r="CT20" s="1872">
        <f t="shared" si="8"/>
        <v>0</v>
      </c>
      <c r="CU20" s="1872">
        <f t="shared" si="9"/>
        <v>0</v>
      </c>
      <c r="CV20" s="1872">
        <f t="shared" si="10"/>
        <v>0</v>
      </c>
      <c r="CW20" s="1872">
        <f t="shared" si="11"/>
        <v>0</v>
      </c>
    </row>
    <row r="21" spans="1:101" ht="16.5">
      <c r="A21" s="1848" t="s">
        <v>577</v>
      </c>
      <c r="B21" s="1843">
        <v>-6</v>
      </c>
      <c r="C21" s="1831">
        <v>29</v>
      </c>
      <c r="D21" s="1833">
        <v>13632</v>
      </c>
      <c r="E21" s="1850">
        <v>151</v>
      </c>
      <c r="F21" s="1835"/>
      <c r="G21" s="1831"/>
      <c r="H21" s="1831"/>
      <c r="I21" s="1836"/>
      <c r="J21" s="1841"/>
      <c r="K21" s="1831"/>
      <c r="L21" s="1831">
        <v>5</v>
      </c>
      <c r="M21" s="1836">
        <v>-1408</v>
      </c>
      <c r="N21" s="1841"/>
      <c r="O21" s="1831"/>
      <c r="P21" s="1831"/>
      <c r="Q21" s="1836"/>
      <c r="R21" s="1841">
        <v>41</v>
      </c>
      <c r="S21" s="1831">
        <v>2</v>
      </c>
      <c r="T21" s="1831">
        <v>22452</v>
      </c>
      <c r="U21" s="1836">
        <v>2473</v>
      </c>
      <c r="V21" s="1841">
        <v>7563.8</v>
      </c>
      <c r="W21" s="1831">
        <v>4</v>
      </c>
      <c r="X21" s="1831">
        <v>2444218</v>
      </c>
      <c r="Y21" s="1836">
        <v>4945591.6</v>
      </c>
      <c r="Z21" s="1841">
        <v>14.4</v>
      </c>
      <c r="AA21" s="1831">
        <v>67</v>
      </c>
      <c r="AB21" s="1831">
        <v>81736</v>
      </c>
      <c r="AC21" s="1836">
        <v>-9219.04</v>
      </c>
      <c r="AD21" s="1841">
        <v>74</v>
      </c>
      <c r="AE21" s="1831"/>
      <c r="AF21" s="1831">
        <v>1433</v>
      </c>
      <c r="AG21" s="1836">
        <v>8805</v>
      </c>
      <c r="AH21" s="1841"/>
      <c r="AI21" s="1831"/>
      <c r="AJ21" s="1831"/>
      <c r="AK21" s="1836"/>
      <c r="AL21" s="1841"/>
      <c r="AM21" s="1831"/>
      <c r="AN21" s="1831">
        <v>1</v>
      </c>
      <c r="AO21" s="1836">
        <v>12</v>
      </c>
      <c r="AP21" s="1841">
        <v>2.98</v>
      </c>
      <c r="AQ21" s="1831">
        <v>1</v>
      </c>
      <c r="AR21" s="1831">
        <v>212</v>
      </c>
      <c r="AS21" s="1836">
        <v>-16046.95</v>
      </c>
      <c r="AT21" s="1841"/>
      <c r="AU21" s="1831"/>
      <c r="AV21" s="1831"/>
      <c r="AW21" s="1836"/>
      <c r="AX21" s="1841"/>
      <c r="AY21" s="1831"/>
      <c r="AZ21" s="1831"/>
      <c r="BA21" s="1836"/>
      <c r="BB21" s="1841">
        <v>-43.5</v>
      </c>
      <c r="BC21" s="1831">
        <v>1</v>
      </c>
      <c r="BD21" s="1831">
        <v>-8294</v>
      </c>
      <c r="BE21" s="1836">
        <v>-94709.7</v>
      </c>
      <c r="BF21" s="1841">
        <v>2.33</v>
      </c>
      <c r="BG21" s="1831">
        <v>29</v>
      </c>
      <c r="BH21" s="1831">
        <v>-3760</v>
      </c>
      <c r="BI21" s="1836">
        <v>-15008.33</v>
      </c>
      <c r="BJ21" s="1841"/>
      <c r="BK21" s="1831"/>
      <c r="BL21" s="1831"/>
      <c r="BM21" s="1836"/>
      <c r="BN21" s="1841"/>
      <c r="BO21" s="1831"/>
      <c r="BP21" s="1831"/>
      <c r="BQ21" s="1836"/>
      <c r="BR21" s="1841">
        <v>-10</v>
      </c>
      <c r="BS21" s="1831"/>
      <c r="BT21" s="1831">
        <v>-2308</v>
      </c>
      <c r="BU21" s="1836">
        <v>-24461</v>
      </c>
      <c r="BV21" s="1841"/>
      <c r="BW21" s="1831"/>
      <c r="BX21" s="1831"/>
      <c r="BY21" s="1836"/>
      <c r="BZ21" s="1841"/>
      <c r="CA21" s="1831"/>
      <c r="CB21" s="1831"/>
      <c r="CC21" s="1836"/>
      <c r="CD21" s="1841">
        <v>2.87</v>
      </c>
      <c r="CE21" s="1831">
        <v>1</v>
      </c>
      <c r="CF21" s="1831">
        <v>1498</v>
      </c>
      <c r="CG21" s="1836">
        <v>364.8</v>
      </c>
      <c r="CH21" s="1841">
        <v>-0.17</v>
      </c>
      <c r="CI21" s="1831"/>
      <c r="CJ21" s="1831">
        <v>-3</v>
      </c>
      <c r="CK21" s="1836">
        <v>-9.83</v>
      </c>
      <c r="CL21" s="1841">
        <v>147</v>
      </c>
      <c r="CM21" s="1831"/>
      <c r="CN21" s="1831">
        <v>9627</v>
      </c>
      <c r="CO21" s="1836">
        <v>34639</v>
      </c>
      <c r="CP21" s="1841">
        <v>27.31</v>
      </c>
      <c r="CQ21" s="1831">
        <v>281</v>
      </c>
      <c r="CR21" s="1831">
        <v>33181</v>
      </c>
      <c r="CS21" s="1836">
        <v>20662.32</v>
      </c>
      <c r="CT21" s="1872">
        <f t="shared" si="8"/>
        <v>7816.0199999999995</v>
      </c>
      <c r="CU21" s="1872">
        <f t="shared" si="9"/>
        <v>415</v>
      </c>
      <c r="CV21" s="1872">
        <f t="shared" si="10"/>
        <v>2593630</v>
      </c>
      <c r="CW21" s="1872">
        <f t="shared" si="11"/>
        <v>4851835.869999999</v>
      </c>
    </row>
    <row r="22" spans="1:101" ht="16.5">
      <c r="A22" s="1848" t="s">
        <v>578</v>
      </c>
      <c r="B22" s="1842">
        <v>1</v>
      </c>
      <c r="C22" s="1831">
        <v>3</v>
      </c>
      <c r="D22" s="1833">
        <v>18017</v>
      </c>
      <c r="E22" s="1850">
        <v>239</v>
      </c>
      <c r="F22" s="1835"/>
      <c r="G22" s="1831"/>
      <c r="H22" s="1831"/>
      <c r="I22" s="1836"/>
      <c r="J22" s="1841"/>
      <c r="K22" s="1831"/>
      <c r="L22" s="1831"/>
      <c r="M22" s="1836"/>
      <c r="N22" s="1841"/>
      <c r="O22" s="1831"/>
      <c r="P22" s="1831"/>
      <c r="Q22" s="1836"/>
      <c r="R22" s="1841">
        <v>16</v>
      </c>
      <c r="S22" s="1831"/>
      <c r="T22" s="1831">
        <v>118</v>
      </c>
      <c r="U22" s="1836">
        <v>814</v>
      </c>
      <c r="V22" s="1841">
        <v>94</v>
      </c>
      <c r="W22" s="1831"/>
      <c r="X22" s="1831">
        <v>66</v>
      </c>
      <c r="Y22" s="1836">
        <v>4373.5</v>
      </c>
      <c r="Z22" s="1841">
        <v>88.59</v>
      </c>
      <c r="AA22" s="1831">
        <v>29</v>
      </c>
      <c r="AB22" s="1831">
        <v>55471</v>
      </c>
      <c r="AC22" s="1836">
        <v>32365.62</v>
      </c>
      <c r="AD22" s="1841">
        <v>205</v>
      </c>
      <c r="AE22" s="1831"/>
      <c r="AF22" s="1831">
        <v>1262</v>
      </c>
      <c r="AG22" s="1836">
        <v>14323</v>
      </c>
      <c r="AH22" s="1841"/>
      <c r="AI22" s="1831"/>
      <c r="AJ22" s="1831"/>
      <c r="AK22" s="1836"/>
      <c r="AL22" s="1841"/>
      <c r="AM22" s="1831"/>
      <c r="AN22" s="1831"/>
      <c r="AO22" s="1836"/>
      <c r="AP22" s="1841">
        <v>11.44</v>
      </c>
      <c r="AQ22" s="1831">
        <v>1</v>
      </c>
      <c r="AR22" s="1831">
        <v>341</v>
      </c>
      <c r="AS22" s="1836">
        <v>2775.72</v>
      </c>
      <c r="AT22" s="1841"/>
      <c r="AU22" s="1831"/>
      <c r="AV22" s="1831"/>
      <c r="AW22" s="1836"/>
      <c r="AX22" s="1841"/>
      <c r="AY22" s="1831"/>
      <c r="AZ22" s="1831"/>
      <c r="BA22" s="1836"/>
      <c r="BB22" s="1841">
        <v>2.78</v>
      </c>
      <c r="BC22" s="1831"/>
      <c r="BD22" s="1831">
        <v>871</v>
      </c>
      <c r="BE22" s="1836">
        <v>4898.08</v>
      </c>
      <c r="BF22" s="1841">
        <v>13.52</v>
      </c>
      <c r="BG22" s="1831">
        <v>5</v>
      </c>
      <c r="BH22" s="1831">
        <v>1439</v>
      </c>
      <c r="BI22" s="1836">
        <v>676.76</v>
      </c>
      <c r="BJ22" s="1841"/>
      <c r="BK22" s="1831"/>
      <c r="BL22" s="1831"/>
      <c r="BM22" s="1836"/>
      <c r="BN22" s="1841"/>
      <c r="BO22" s="1831"/>
      <c r="BP22" s="1831"/>
      <c r="BQ22" s="1836"/>
      <c r="BR22" s="1841">
        <v>1</v>
      </c>
      <c r="BS22" s="1831"/>
      <c r="BT22" s="1831">
        <v>41</v>
      </c>
      <c r="BU22" s="1836">
        <v>1493</v>
      </c>
      <c r="BV22" s="1841"/>
      <c r="BW22" s="1831"/>
      <c r="BX22" s="1831"/>
      <c r="BY22" s="1836"/>
      <c r="BZ22" s="1841"/>
      <c r="CA22" s="1831"/>
      <c r="CB22" s="1831"/>
      <c r="CC22" s="1836"/>
      <c r="CD22" s="1841">
        <v>6.6</v>
      </c>
      <c r="CE22" s="1831">
        <v>1</v>
      </c>
      <c r="CF22" s="1831">
        <v>629</v>
      </c>
      <c r="CG22" s="1836">
        <v>653.75</v>
      </c>
      <c r="CH22" s="1841">
        <v>-0.21</v>
      </c>
      <c r="CI22" s="1831"/>
      <c r="CJ22" s="1831">
        <v>-1</v>
      </c>
      <c r="CK22" s="1836">
        <v>-15</v>
      </c>
      <c r="CL22" s="1841">
        <v>134</v>
      </c>
      <c r="CM22" s="1831"/>
      <c r="CN22" s="1831">
        <v>857</v>
      </c>
      <c r="CO22" s="1836">
        <v>12089</v>
      </c>
      <c r="CP22" s="1841"/>
      <c r="CQ22" s="1831"/>
      <c r="CR22" s="1831"/>
      <c r="CS22" s="1836"/>
      <c r="CT22" s="1872">
        <f t="shared" si="8"/>
        <v>573.72</v>
      </c>
      <c r="CU22" s="1872">
        <f t="shared" si="9"/>
        <v>39</v>
      </c>
      <c r="CV22" s="1872">
        <f t="shared" si="10"/>
        <v>79111</v>
      </c>
      <c r="CW22" s="1872">
        <f t="shared" si="11"/>
        <v>74686.43</v>
      </c>
    </row>
    <row r="23" spans="1:101" ht="16.5">
      <c r="A23" s="1848" t="s">
        <v>579</v>
      </c>
      <c r="B23" s="1842">
        <v>1</v>
      </c>
      <c r="C23" s="1831">
        <v>3</v>
      </c>
      <c r="D23" s="1833">
        <v>26842</v>
      </c>
      <c r="E23" s="1850">
        <v>294</v>
      </c>
      <c r="F23" s="1835"/>
      <c r="G23" s="1831"/>
      <c r="H23" s="1831"/>
      <c r="I23" s="1836"/>
      <c r="J23" s="1841"/>
      <c r="K23" s="1831"/>
      <c r="L23" s="1831">
        <v>14</v>
      </c>
      <c r="M23" s="1836">
        <v>25</v>
      </c>
      <c r="N23" s="1841"/>
      <c r="O23" s="1831"/>
      <c r="P23" s="1831"/>
      <c r="Q23" s="1836"/>
      <c r="R23" s="1841">
        <v>3</v>
      </c>
      <c r="S23" s="1831"/>
      <c r="T23" s="1831">
        <v>88</v>
      </c>
      <c r="U23" s="1836">
        <v>123</v>
      </c>
      <c r="V23" s="1841">
        <v>16</v>
      </c>
      <c r="W23" s="1831"/>
      <c r="X23" s="1831">
        <v>5</v>
      </c>
      <c r="Y23" s="1836">
        <v>563.3</v>
      </c>
      <c r="Z23" s="1841">
        <v>114.97</v>
      </c>
      <c r="AA23" s="1831">
        <v>12</v>
      </c>
      <c r="AB23" s="1831">
        <v>50852</v>
      </c>
      <c r="AC23" s="1836">
        <v>37130.98</v>
      </c>
      <c r="AD23" s="1841">
        <v>236</v>
      </c>
      <c r="AE23" s="1831"/>
      <c r="AF23" s="1831">
        <v>681</v>
      </c>
      <c r="AG23" s="1836">
        <v>10213</v>
      </c>
      <c r="AH23" s="1841"/>
      <c r="AI23" s="1831"/>
      <c r="AJ23" s="1831"/>
      <c r="AK23" s="1836"/>
      <c r="AL23" s="1841"/>
      <c r="AM23" s="1831"/>
      <c r="AN23" s="1831"/>
      <c r="AO23" s="1836"/>
      <c r="AP23" s="1841">
        <v>20.59</v>
      </c>
      <c r="AQ23" s="1831">
        <v>3</v>
      </c>
      <c r="AR23" s="1831">
        <v>1072</v>
      </c>
      <c r="AS23" s="1836">
        <v>5029.8</v>
      </c>
      <c r="AT23" s="1841"/>
      <c r="AU23" s="1831"/>
      <c r="AV23" s="1831"/>
      <c r="AW23" s="1836"/>
      <c r="AX23" s="1841"/>
      <c r="AY23" s="1831"/>
      <c r="AZ23" s="1831"/>
      <c r="BA23" s="1836"/>
      <c r="BB23" s="1841">
        <v>5.77</v>
      </c>
      <c r="BC23" s="1831">
        <v>2</v>
      </c>
      <c r="BD23" s="1831">
        <v>2142</v>
      </c>
      <c r="BE23" s="1836">
        <v>6547.82</v>
      </c>
      <c r="BF23" s="1841">
        <v>26.35</v>
      </c>
      <c r="BG23" s="1831">
        <v>5</v>
      </c>
      <c r="BH23" s="1831">
        <v>2624</v>
      </c>
      <c r="BI23" s="1836">
        <v>2426.74</v>
      </c>
      <c r="BJ23" s="1841"/>
      <c r="BK23" s="1831"/>
      <c r="BL23" s="1831"/>
      <c r="BM23" s="1836"/>
      <c r="BN23" s="1841"/>
      <c r="BO23" s="1831"/>
      <c r="BP23" s="1831"/>
      <c r="BQ23" s="1836"/>
      <c r="BR23" s="1841">
        <v>2</v>
      </c>
      <c r="BS23" s="1831"/>
      <c r="BT23" s="1831">
        <v>127</v>
      </c>
      <c r="BU23" s="1836">
        <v>1335</v>
      </c>
      <c r="BV23" s="1841"/>
      <c r="BW23" s="1831"/>
      <c r="BX23" s="1831"/>
      <c r="BY23" s="1836"/>
      <c r="BZ23" s="1841"/>
      <c r="CA23" s="1831"/>
      <c r="CB23" s="1831"/>
      <c r="CC23" s="1836"/>
      <c r="CD23" s="1841">
        <v>10.72</v>
      </c>
      <c r="CE23" s="1831"/>
      <c r="CF23" s="1831">
        <v>500</v>
      </c>
      <c r="CG23" s="1836">
        <v>1027.53</v>
      </c>
      <c r="CH23" s="1841">
        <v>-0.81</v>
      </c>
      <c r="CI23" s="1831"/>
      <c r="CJ23" s="1831">
        <v>-3</v>
      </c>
      <c r="CK23" s="1836">
        <v>-47.5</v>
      </c>
      <c r="CL23" s="1841">
        <v>170</v>
      </c>
      <c r="CM23" s="1831"/>
      <c r="CN23" s="1831">
        <v>517</v>
      </c>
      <c r="CO23" s="1836">
        <v>10902</v>
      </c>
      <c r="CP23" s="1841"/>
      <c r="CQ23" s="1831"/>
      <c r="CR23" s="1831"/>
      <c r="CS23" s="1836"/>
      <c r="CT23" s="1872">
        <f t="shared" si="8"/>
        <v>605.59</v>
      </c>
      <c r="CU23" s="1872">
        <f t="shared" si="9"/>
        <v>25</v>
      </c>
      <c r="CV23" s="1872">
        <f t="shared" si="10"/>
        <v>85461</v>
      </c>
      <c r="CW23" s="1872">
        <f t="shared" si="11"/>
        <v>75570.67000000001</v>
      </c>
    </row>
    <row r="24" spans="1:101" ht="16.5">
      <c r="A24" s="1848" t="s">
        <v>580</v>
      </c>
      <c r="B24" s="1843">
        <v>2</v>
      </c>
      <c r="C24" s="1831">
        <v>3</v>
      </c>
      <c r="D24" s="1833">
        <v>63058</v>
      </c>
      <c r="E24" s="1850">
        <v>946</v>
      </c>
      <c r="F24" s="1835"/>
      <c r="G24" s="1831"/>
      <c r="H24" s="1831"/>
      <c r="I24" s="1836"/>
      <c r="J24" s="1841"/>
      <c r="K24" s="1831"/>
      <c r="L24" s="1831"/>
      <c r="M24" s="1836"/>
      <c r="N24" s="1841"/>
      <c r="O24" s="1831"/>
      <c r="P24" s="1831"/>
      <c r="Q24" s="1836"/>
      <c r="R24" s="1841"/>
      <c r="S24" s="1831"/>
      <c r="T24" s="1831">
        <v>6</v>
      </c>
      <c r="U24" s="1836">
        <v>11</v>
      </c>
      <c r="V24" s="1841"/>
      <c r="W24" s="1831"/>
      <c r="X24" s="1831"/>
      <c r="Y24" s="1836"/>
      <c r="Z24" s="1841">
        <v>162.76</v>
      </c>
      <c r="AA24" s="1831">
        <v>9</v>
      </c>
      <c r="AB24" s="1831">
        <v>134163</v>
      </c>
      <c r="AC24" s="1836">
        <v>64923.31</v>
      </c>
      <c r="AD24" s="1841">
        <v>122</v>
      </c>
      <c r="AE24" s="1831"/>
      <c r="AF24" s="1831">
        <v>209</v>
      </c>
      <c r="AG24" s="1836">
        <v>4086</v>
      </c>
      <c r="AH24" s="1841"/>
      <c r="AI24" s="1831"/>
      <c r="AJ24" s="1831"/>
      <c r="AK24" s="1836"/>
      <c r="AL24" s="1841"/>
      <c r="AM24" s="1831"/>
      <c r="AN24" s="1831"/>
      <c r="AO24" s="1836"/>
      <c r="AP24" s="1841">
        <v>29.21</v>
      </c>
      <c r="AQ24" s="1831"/>
      <c r="AR24" s="1831">
        <v>562</v>
      </c>
      <c r="AS24" s="1836">
        <v>8387.96</v>
      </c>
      <c r="AT24" s="1841"/>
      <c r="AU24" s="1831"/>
      <c r="AV24" s="1831"/>
      <c r="AW24" s="1836"/>
      <c r="AX24" s="1841"/>
      <c r="AY24" s="1831"/>
      <c r="AZ24" s="1831"/>
      <c r="BA24" s="1836"/>
      <c r="BB24" s="1841">
        <v>2.12</v>
      </c>
      <c r="BC24" s="1831"/>
      <c r="BD24" s="1831">
        <v>2874</v>
      </c>
      <c r="BE24" s="1836">
        <v>6691.37</v>
      </c>
      <c r="BF24" s="1841">
        <v>25.28</v>
      </c>
      <c r="BG24" s="1831">
        <v>2</v>
      </c>
      <c r="BH24" s="1831">
        <v>2730</v>
      </c>
      <c r="BI24" s="1836">
        <v>2189.84</v>
      </c>
      <c r="BJ24" s="1841"/>
      <c r="BK24" s="1831"/>
      <c r="BL24" s="1831"/>
      <c r="BM24" s="1836"/>
      <c r="BN24" s="1841"/>
      <c r="BO24" s="1831"/>
      <c r="BP24" s="1831"/>
      <c r="BQ24" s="1836"/>
      <c r="BR24" s="1841"/>
      <c r="BS24" s="1831"/>
      <c r="BT24" s="1831"/>
      <c r="BU24" s="1836"/>
      <c r="BV24" s="1841"/>
      <c r="BW24" s="1831"/>
      <c r="BX24" s="1831"/>
      <c r="BY24" s="1836"/>
      <c r="BZ24" s="1841"/>
      <c r="CA24" s="1831"/>
      <c r="CB24" s="1831"/>
      <c r="CC24" s="1836"/>
      <c r="CD24" s="1841">
        <v>16.34</v>
      </c>
      <c r="CE24" s="1831">
        <v>1</v>
      </c>
      <c r="CF24" s="1831">
        <v>1468</v>
      </c>
      <c r="CG24" s="1836">
        <v>1785.41</v>
      </c>
      <c r="CH24" s="1841">
        <v>-0.66</v>
      </c>
      <c r="CI24" s="1831"/>
      <c r="CJ24" s="1831">
        <v>-1</v>
      </c>
      <c r="CK24" s="1836">
        <v>-10</v>
      </c>
      <c r="CL24" s="1841">
        <v>114</v>
      </c>
      <c r="CM24" s="1831"/>
      <c r="CN24" s="1831">
        <v>217</v>
      </c>
      <c r="CO24" s="1836">
        <v>5578</v>
      </c>
      <c r="CP24" s="1841"/>
      <c r="CQ24" s="1831"/>
      <c r="CR24" s="1831"/>
      <c r="CS24" s="1836"/>
      <c r="CT24" s="1872">
        <f t="shared" si="8"/>
        <v>473.04999999999995</v>
      </c>
      <c r="CU24" s="1872">
        <f t="shared" si="9"/>
        <v>15</v>
      </c>
      <c r="CV24" s="1872">
        <f t="shared" si="10"/>
        <v>205286</v>
      </c>
      <c r="CW24" s="1872">
        <f t="shared" si="11"/>
        <v>94588.88999999998</v>
      </c>
    </row>
    <row r="25" spans="1:101" ht="16.5">
      <c r="A25" s="1848" t="s">
        <v>581</v>
      </c>
      <c r="B25" s="1843"/>
      <c r="C25" s="1831"/>
      <c r="D25" s="1833"/>
      <c r="E25" s="1850"/>
      <c r="F25" s="1835"/>
      <c r="G25" s="1831"/>
      <c r="H25" s="1831"/>
      <c r="I25" s="1836"/>
      <c r="J25" s="1841">
        <v>1</v>
      </c>
      <c r="K25" s="1831"/>
      <c r="L25" s="1831">
        <v>5</v>
      </c>
      <c r="M25" s="1836">
        <v>58</v>
      </c>
      <c r="N25" s="1841"/>
      <c r="O25" s="1831"/>
      <c r="P25" s="1831"/>
      <c r="Q25" s="1836"/>
      <c r="R25" s="1841"/>
      <c r="S25" s="1831"/>
      <c r="T25" s="1831">
        <v>2</v>
      </c>
      <c r="U25" s="1836">
        <v>13</v>
      </c>
      <c r="V25" s="1841"/>
      <c r="W25" s="1831"/>
      <c r="X25" s="1831"/>
      <c r="Y25" s="1836"/>
      <c r="Z25" s="1841">
        <v>149.66</v>
      </c>
      <c r="AA25" s="1831">
        <v>6</v>
      </c>
      <c r="AB25" s="1831">
        <v>138642</v>
      </c>
      <c r="AC25" s="1836">
        <v>34328.02</v>
      </c>
      <c r="AD25" s="1841">
        <v>40</v>
      </c>
      <c r="AE25" s="1831"/>
      <c r="AF25" s="1831">
        <v>49</v>
      </c>
      <c r="AG25" s="1836">
        <v>1118</v>
      </c>
      <c r="AH25" s="1841"/>
      <c r="AI25" s="1831"/>
      <c r="AJ25" s="1831"/>
      <c r="AK25" s="1836"/>
      <c r="AL25" s="1841">
        <v>1</v>
      </c>
      <c r="AM25" s="1831">
        <v>1</v>
      </c>
      <c r="AN25" s="1831">
        <v>111</v>
      </c>
      <c r="AO25" s="1836">
        <v>148</v>
      </c>
      <c r="AP25" s="1841">
        <v>33.88</v>
      </c>
      <c r="AQ25" s="1831"/>
      <c r="AR25" s="1831">
        <v>899</v>
      </c>
      <c r="AS25" s="1836">
        <v>6099.1</v>
      </c>
      <c r="AT25" s="1841"/>
      <c r="AU25" s="1831"/>
      <c r="AV25" s="1831"/>
      <c r="AW25" s="1836"/>
      <c r="AX25" s="1841"/>
      <c r="AY25" s="1831"/>
      <c r="AZ25" s="1831"/>
      <c r="BA25" s="1836"/>
      <c r="BB25" s="1841">
        <v>3.63</v>
      </c>
      <c r="BC25" s="1831"/>
      <c r="BD25" s="1831">
        <v>13026</v>
      </c>
      <c r="BE25" s="1836">
        <v>4647.79</v>
      </c>
      <c r="BF25" s="1841">
        <v>23.83</v>
      </c>
      <c r="BG25" s="1831">
        <v>1</v>
      </c>
      <c r="BH25" s="1831">
        <v>2456</v>
      </c>
      <c r="BI25" s="1836">
        <v>2006.5</v>
      </c>
      <c r="BJ25" s="1841"/>
      <c r="BK25" s="1831"/>
      <c r="BL25" s="1831"/>
      <c r="BM25" s="1836"/>
      <c r="BN25" s="1841"/>
      <c r="BO25" s="1831"/>
      <c r="BP25" s="1831"/>
      <c r="BQ25" s="1836"/>
      <c r="BR25" s="1841">
        <v>2</v>
      </c>
      <c r="BS25" s="1831"/>
      <c r="BT25" s="1831">
        <v>101</v>
      </c>
      <c r="BU25" s="1836">
        <v>2265</v>
      </c>
      <c r="BV25" s="1841"/>
      <c r="BW25" s="1831"/>
      <c r="BX25" s="1831"/>
      <c r="BY25" s="1836"/>
      <c r="BZ25" s="1841"/>
      <c r="CA25" s="1831"/>
      <c r="CB25" s="1831"/>
      <c r="CC25" s="1836"/>
      <c r="CD25" s="1841">
        <v>7.51</v>
      </c>
      <c r="CE25" s="1831"/>
      <c r="CF25" s="1831">
        <v>154</v>
      </c>
      <c r="CG25" s="1836">
        <v>430.24</v>
      </c>
      <c r="CH25" s="1841"/>
      <c r="CI25" s="1831"/>
      <c r="CJ25" s="1831"/>
      <c r="CK25" s="1836"/>
      <c r="CL25" s="1841">
        <v>82</v>
      </c>
      <c r="CM25" s="1831"/>
      <c r="CN25" s="1831">
        <v>116</v>
      </c>
      <c r="CO25" s="1836">
        <v>3979</v>
      </c>
      <c r="CP25" s="1841"/>
      <c r="CQ25" s="1831"/>
      <c r="CR25" s="1831"/>
      <c r="CS25" s="1836"/>
      <c r="CT25" s="1872">
        <f t="shared" si="8"/>
        <v>344.51</v>
      </c>
      <c r="CU25" s="1872">
        <f t="shared" si="9"/>
        <v>8</v>
      </c>
      <c r="CV25" s="1872">
        <f t="shared" si="10"/>
        <v>155561</v>
      </c>
      <c r="CW25" s="1872">
        <f t="shared" si="11"/>
        <v>55092.649999999994</v>
      </c>
    </row>
    <row r="26" spans="1:101" ht="16.5">
      <c r="A26" s="1848" t="s">
        <v>582</v>
      </c>
      <c r="B26" s="1843">
        <v>2</v>
      </c>
      <c r="C26" s="1831">
        <v>2</v>
      </c>
      <c r="D26" s="1833"/>
      <c r="E26" s="1850"/>
      <c r="F26" s="1835"/>
      <c r="G26" s="1831"/>
      <c r="H26" s="1831"/>
      <c r="I26" s="1836"/>
      <c r="J26" s="1841">
        <v>2</v>
      </c>
      <c r="K26" s="1831"/>
      <c r="L26" s="1831">
        <v>40</v>
      </c>
      <c r="M26" s="1836">
        <v>69</v>
      </c>
      <c r="N26" s="1841"/>
      <c r="O26" s="1831"/>
      <c r="P26" s="1831"/>
      <c r="Q26" s="1836"/>
      <c r="R26" s="1841"/>
      <c r="S26" s="1831"/>
      <c r="T26" s="1831">
        <v>1</v>
      </c>
      <c r="U26" s="1836">
        <v>2</v>
      </c>
      <c r="V26" s="1841"/>
      <c r="W26" s="1831"/>
      <c r="X26" s="1831"/>
      <c r="Y26" s="1836"/>
      <c r="Z26" s="1841">
        <v>179.98</v>
      </c>
      <c r="AA26" s="1831">
        <v>12</v>
      </c>
      <c r="AB26" s="1831">
        <v>99317</v>
      </c>
      <c r="AC26" s="1836">
        <v>41040.67</v>
      </c>
      <c r="AD26" s="1841">
        <v>19</v>
      </c>
      <c r="AE26" s="1831"/>
      <c r="AF26" s="1831">
        <v>17</v>
      </c>
      <c r="AG26" s="1836">
        <v>830</v>
      </c>
      <c r="AH26" s="1841"/>
      <c r="AI26" s="1831"/>
      <c r="AJ26" s="1831"/>
      <c r="AK26" s="1836"/>
      <c r="AL26" s="1841"/>
      <c r="AM26" s="1831"/>
      <c r="AN26" s="1831"/>
      <c r="AO26" s="1836"/>
      <c r="AP26" s="1841">
        <v>31.25</v>
      </c>
      <c r="AQ26" s="1831"/>
      <c r="AR26" s="1831">
        <v>925</v>
      </c>
      <c r="AS26" s="1836">
        <v>7015.07</v>
      </c>
      <c r="AT26" s="1841"/>
      <c r="AU26" s="1831"/>
      <c r="AV26" s="1831"/>
      <c r="AW26" s="1836"/>
      <c r="AX26" s="1841"/>
      <c r="AY26" s="1831"/>
      <c r="AZ26" s="1831"/>
      <c r="BA26" s="1836"/>
      <c r="BB26" s="1841">
        <v>7.48</v>
      </c>
      <c r="BC26" s="1831"/>
      <c r="BD26" s="1831">
        <v>16953</v>
      </c>
      <c r="BE26" s="1836">
        <v>5853.92</v>
      </c>
      <c r="BF26" s="1841">
        <v>32.15</v>
      </c>
      <c r="BG26" s="1831">
        <v>1</v>
      </c>
      <c r="BH26" s="1831">
        <v>3168</v>
      </c>
      <c r="BI26" s="1836">
        <v>2501.69</v>
      </c>
      <c r="BJ26" s="1841"/>
      <c r="BK26" s="1831"/>
      <c r="BL26" s="1831"/>
      <c r="BM26" s="1836"/>
      <c r="BN26" s="1841"/>
      <c r="BO26" s="1831"/>
      <c r="BP26" s="1831"/>
      <c r="BQ26" s="1836"/>
      <c r="BR26" s="1841"/>
      <c r="BS26" s="1831"/>
      <c r="BT26" s="1831"/>
      <c r="BU26" s="1836"/>
      <c r="BV26" s="1841"/>
      <c r="BW26" s="1831"/>
      <c r="BX26" s="1831"/>
      <c r="BY26" s="1836"/>
      <c r="BZ26" s="1841"/>
      <c r="CA26" s="1831"/>
      <c r="CB26" s="1831"/>
      <c r="CC26" s="1836"/>
      <c r="CD26" s="1841">
        <v>11.06</v>
      </c>
      <c r="CE26" s="1831">
        <v>1</v>
      </c>
      <c r="CF26" s="1831">
        <v>757</v>
      </c>
      <c r="CG26" s="1836">
        <v>867.7</v>
      </c>
      <c r="CH26" s="1841">
        <v>-2.31</v>
      </c>
      <c r="CI26" s="1831"/>
      <c r="CJ26" s="1831">
        <v>-6</v>
      </c>
      <c r="CK26" s="1836">
        <v>-62.98</v>
      </c>
      <c r="CL26" s="1841">
        <v>63</v>
      </c>
      <c r="CM26" s="1831"/>
      <c r="CN26" s="1831">
        <v>72</v>
      </c>
      <c r="CO26" s="1836">
        <v>3253</v>
      </c>
      <c r="CP26" s="1841"/>
      <c r="CQ26" s="1831"/>
      <c r="CR26" s="1831"/>
      <c r="CS26" s="1836"/>
      <c r="CT26" s="1872">
        <f t="shared" si="8"/>
        <v>345.60999999999996</v>
      </c>
      <c r="CU26" s="1872">
        <f t="shared" si="9"/>
        <v>16</v>
      </c>
      <c r="CV26" s="1872">
        <f t="shared" si="10"/>
        <v>121244</v>
      </c>
      <c r="CW26" s="1872">
        <f t="shared" si="11"/>
        <v>61370.06999999999</v>
      </c>
    </row>
    <row r="27" spans="1:101" ht="16.5">
      <c r="A27" s="1848" t="s">
        <v>583</v>
      </c>
      <c r="B27" s="1843">
        <v>16913</v>
      </c>
      <c r="C27" s="1831">
        <v>105</v>
      </c>
      <c r="D27" s="1833">
        <v>267489</v>
      </c>
      <c r="E27" s="1850">
        <v>186850</v>
      </c>
      <c r="F27" s="1835"/>
      <c r="G27" s="1831"/>
      <c r="H27" s="1831"/>
      <c r="I27" s="1836"/>
      <c r="J27" s="1841">
        <v>64</v>
      </c>
      <c r="K27" s="1831"/>
      <c r="L27" s="1831">
        <v>895</v>
      </c>
      <c r="M27" s="1836">
        <v>2501</v>
      </c>
      <c r="N27" s="1841"/>
      <c r="O27" s="1831"/>
      <c r="P27" s="1831"/>
      <c r="Q27" s="1836"/>
      <c r="R27" s="1841"/>
      <c r="S27" s="1831"/>
      <c r="T27" s="1831"/>
      <c r="U27" s="1836"/>
      <c r="V27" s="1841">
        <v>17253.3</v>
      </c>
      <c r="W27" s="1831"/>
      <c r="X27" s="1831"/>
      <c r="Y27" s="1836"/>
      <c r="Z27" s="1841">
        <v>9552.73</v>
      </c>
      <c r="AA27" s="1831">
        <v>48</v>
      </c>
      <c r="AB27" s="1831">
        <v>2430488</v>
      </c>
      <c r="AC27" s="1836">
        <v>1160579.66</v>
      </c>
      <c r="AD27" s="1841">
        <v>43</v>
      </c>
      <c r="AE27" s="1831"/>
      <c r="AF27" s="1831">
        <v>19</v>
      </c>
      <c r="AG27" s="1836">
        <v>1849</v>
      </c>
      <c r="AH27" s="1841">
        <v>7.01</v>
      </c>
      <c r="AI27" s="1831"/>
      <c r="AJ27" s="1831">
        <v>216</v>
      </c>
      <c r="AK27" s="1836">
        <v>623.48</v>
      </c>
      <c r="AL27" s="1841">
        <v>1466</v>
      </c>
      <c r="AM27" s="1831">
        <v>2</v>
      </c>
      <c r="AN27" s="1831">
        <v>11228</v>
      </c>
      <c r="AO27" s="1836">
        <v>124584</v>
      </c>
      <c r="AP27" s="1841">
        <v>187516.68</v>
      </c>
      <c r="AQ27" s="1831">
        <v>28</v>
      </c>
      <c r="AR27" s="1831">
        <v>7439141</v>
      </c>
      <c r="AS27" s="1836">
        <v>6541898.07</v>
      </c>
      <c r="AT27" s="1841"/>
      <c r="AU27" s="1831"/>
      <c r="AV27" s="1831"/>
      <c r="AW27" s="1836"/>
      <c r="AX27" s="1841">
        <v>2990</v>
      </c>
      <c r="AY27" s="1831"/>
      <c r="AZ27" s="1831">
        <v>5123</v>
      </c>
      <c r="BA27" s="1836">
        <v>132862</v>
      </c>
      <c r="BB27" s="1841">
        <v>30458.47</v>
      </c>
      <c r="BC27" s="1831">
        <v>25</v>
      </c>
      <c r="BD27" s="1831">
        <v>962965</v>
      </c>
      <c r="BE27" s="1836">
        <v>3296154.64</v>
      </c>
      <c r="BF27" s="1841">
        <v>30183</v>
      </c>
      <c r="BG27" s="1831">
        <v>12</v>
      </c>
      <c r="BH27" s="1831">
        <v>3549146</v>
      </c>
      <c r="BI27" s="1836">
        <v>2398819.53</v>
      </c>
      <c r="BJ27" s="1841"/>
      <c r="BK27" s="1831"/>
      <c r="BL27" s="1831"/>
      <c r="BM27" s="1836"/>
      <c r="BN27" s="1841"/>
      <c r="BO27" s="1831"/>
      <c r="BP27" s="1831"/>
      <c r="BQ27" s="1836"/>
      <c r="BR27" s="1841">
        <v>352</v>
      </c>
      <c r="BS27" s="1831">
        <v>7</v>
      </c>
      <c r="BT27" s="1831">
        <v>122637</v>
      </c>
      <c r="BU27" s="1836">
        <v>344995</v>
      </c>
      <c r="BV27" s="1841"/>
      <c r="BW27" s="1831"/>
      <c r="BX27" s="1831"/>
      <c r="BY27" s="1836"/>
      <c r="BZ27" s="1841"/>
      <c r="CA27" s="1831"/>
      <c r="CB27" s="1831"/>
      <c r="CC27" s="1836"/>
      <c r="CD27" s="1841">
        <v>4840.24</v>
      </c>
      <c r="CE27" s="1831"/>
      <c r="CF27" s="1831">
        <v>511733</v>
      </c>
      <c r="CG27" s="1836">
        <v>587281.13</v>
      </c>
      <c r="CH27" s="1841">
        <v>997.76</v>
      </c>
      <c r="CI27" s="1831"/>
      <c r="CJ27" s="1831">
        <v>4794</v>
      </c>
      <c r="CK27" s="1836">
        <v>50223.49</v>
      </c>
      <c r="CL27" s="1841">
        <v>248</v>
      </c>
      <c r="CM27" s="1831"/>
      <c r="CN27" s="1831">
        <v>146</v>
      </c>
      <c r="CO27" s="1836">
        <v>10192</v>
      </c>
      <c r="CP27" s="1841">
        <v>1860323.89</v>
      </c>
      <c r="CQ27" s="1831">
        <v>12</v>
      </c>
      <c r="CR27" s="1831">
        <v>10012</v>
      </c>
      <c r="CS27" s="1836">
        <v>31403.23</v>
      </c>
      <c r="CT27" s="1872">
        <f t="shared" si="8"/>
        <v>2163209.08</v>
      </c>
      <c r="CU27" s="1872">
        <f t="shared" si="9"/>
        <v>239</v>
      </c>
      <c r="CV27" s="1872">
        <f t="shared" si="10"/>
        <v>15316032</v>
      </c>
      <c r="CW27" s="1872">
        <f t="shared" si="11"/>
        <v>14870816.23</v>
      </c>
    </row>
    <row r="28" spans="1:101" ht="16.5">
      <c r="A28" s="1847" t="s">
        <v>595</v>
      </c>
      <c r="B28" s="1841"/>
      <c r="C28" s="1831"/>
      <c r="D28" s="1831"/>
      <c r="E28" s="1850"/>
      <c r="F28" s="1835"/>
      <c r="G28" s="1831"/>
      <c r="H28" s="1831"/>
      <c r="I28" s="1836"/>
      <c r="J28" s="1841"/>
      <c r="K28" s="1831"/>
      <c r="L28" s="1831"/>
      <c r="M28" s="1836"/>
      <c r="N28" s="1841"/>
      <c r="O28" s="1831"/>
      <c r="P28" s="1831"/>
      <c r="Q28" s="1836"/>
      <c r="R28" s="1841"/>
      <c r="S28" s="1831"/>
      <c r="T28" s="1831"/>
      <c r="U28" s="1836"/>
      <c r="V28" s="1841"/>
      <c r="W28" s="1831"/>
      <c r="X28" s="1831"/>
      <c r="Y28" s="1836"/>
      <c r="Z28" s="1841"/>
      <c r="AA28" s="1831"/>
      <c r="AB28" s="1831"/>
      <c r="AC28" s="1836"/>
      <c r="AD28" s="1841"/>
      <c r="AE28" s="1831"/>
      <c r="AF28" s="1831"/>
      <c r="AG28" s="1836"/>
      <c r="AH28" s="1841"/>
      <c r="AI28" s="1831"/>
      <c r="AJ28" s="1831"/>
      <c r="AK28" s="1836"/>
      <c r="AL28" s="1841"/>
      <c r="AM28" s="1831"/>
      <c r="AN28" s="1831"/>
      <c r="AO28" s="1836"/>
      <c r="AP28" s="1841"/>
      <c r="AQ28" s="1831"/>
      <c r="AR28" s="1831"/>
      <c r="AS28" s="1836"/>
      <c r="AT28" s="1841"/>
      <c r="AU28" s="1831"/>
      <c r="AV28" s="1831"/>
      <c r="AW28" s="1836"/>
      <c r="AX28" s="1841"/>
      <c r="AY28" s="1831"/>
      <c r="AZ28" s="1831"/>
      <c r="BA28" s="1836"/>
      <c r="BB28" s="1841"/>
      <c r="BC28" s="1831"/>
      <c r="BD28" s="1831"/>
      <c r="BE28" s="1836"/>
      <c r="BF28" s="1841"/>
      <c r="BG28" s="1831"/>
      <c r="BH28" s="1831"/>
      <c r="BI28" s="1836"/>
      <c r="BJ28" s="1841"/>
      <c r="BK28" s="1831"/>
      <c r="BL28" s="1831"/>
      <c r="BM28" s="1836"/>
      <c r="BN28" s="1841"/>
      <c r="BO28" s="1831"/>
      <c r="BP28" s="1831"/>
      <c r="BQ28" s="1836"/>
      <c r="BR28" s="1841"/>
      <c r="BS28" s="1831"/>
      <c r="BT28" s="1831"/>
      <c r="BU28" s="1836"/>
      <c r="BV28" s="1841"/>
      <c r="BW28" s="1831"/>
      <c r="BX28" s="1831"/>
      <c r="BY28" s="1836"/>
      <c r="BZ28" s="1841"/>
      <c r="CA28" s="1831"/>
      <c r="CB28" s="1831"/>
      <c r="CC28" s="1836"/>
      <c r="CD28" s="1841"/>
      <c r="CE28" s="1831"/>
      <c r="CF28" s="1831"/>
      <c r="CG28" s="1836"/>
      <c r="CH28" s="1841"/>
      <c r="CI28" s="1831"/>
      <c r="CJ28" s="1831"/>
      <c r="CK28" s="1836"/>
      <c r="CL28" s="1841"/>
      <c r="CM28" s="1831"/>
      <c r="CN28" s="1831"/>
      <c r="CO28" s="1836"/>
      <c r="CP28" s="1841"/>
      <c r="CQ28" s="1831"/>
      <c r="CR28" s="1831"/>
      <c r="CS28" s="1836"/>
      <c r="CT28" s="1872">
        <f t="shared" si="8"/>
        <v>0</v>
      </c>
      <c r="CU28" s="1872">
        <f t="shared" si="9"/>
        <v>0</v>
      </c>
      <c r="CV28" s="1872">
        <f t="shared" si="10"/>
        <v>0</v>
      </c>
      <c r="CW28" s="1872">
        <f t="shared" si="11"/>
        <v>0</v>
      </c>
    </row>
    <row r="29" spans="1:101" ht="16.5">
      <c r="A29" s="1848" t="s">
        <v>584</v>
      </c>
      <c r="B29" s="1843"/>
      <c r="C29" s="1831"/>
      <c r="D29" s="1833"/>
      <c r="E29" s="1850"/>
      <c r="F29" s="1835"/>
      <c r="G29" s="1831"/>
      <c r="H29" s="1831"/>
      <c r="I29" s="1836"/>
      <c r="J29" s="1841"/>
      <c r="K29" s="1831"/>
      <c r="L29" s="1831"/>
      <c r="M29" s="1836"/>
      <c r="N29" s="1841"/>
      <c r="O29" s="1831"/>
      <c r="P29" s="1831"/>
      <c r="Q29" s="1836"/>
      <c r="R29" s="1841"/>
      <c r="S29" s="1831"/>
      <c r="T29" s="1831"/>
      <c r="U29" s="1836"/>
      <c r="V29" s="1841"/>
      <c r="W29" s="1831"/>
      <c r="X29" s="1831"/>
      <c r="Y29" s="1836"/>
      <c r="Z29" s="1841"/>
      <c r="AA29" s="1831"/>
      <c r="AB29" s="1831"/>
      <c r="AC29" s="1836"/>
      <c r="AD29" s="1841"/>
      <c r="AE29" s="1831"/>
      <c r="AF29" s="1831"/>
      <c r="AG29" s="1836"/>
      <c r="AH29" s="1841"/>
      <c r="AI29" s="1831"/>
      <c r="AJ29" s="1831"/>
      <c r="AK29" s="1836"/>
      <c r="AL29" s="1841"/>
      <c r="AM29" s="1831"/>
      <c r="AN29" s="1831"/>
      <c r="AO29" s="1836"/>
      <c r="AP29" s="1841"/>
      <c r="AQ29" s="1831"/>
      <c r="AR29" s="1831"/>
      <c r="AS29" s="1836"/>
      <c r="AT29" s="1841"/>
      <c r="AU29" s="1831"/>
      <c r="AV29" s="1831"/>
      <c r="AW29" s="1836"/>
      <c r="AX29" s="1841"/>
      <c r="AY29" s="1831"/>
      <c r="AZ29" s="1831"/>
      <c r="BA29" s="1836"/>
      <c r="BB29" s="1841"/>
      <c r="BC29" s="1831"/>
      <c r="BD29" s="1831"/>
      <c r="BE29" s="1836"/>
      <c r="BF29" s="1841"/>
      <c r="BG29" s="1831"/>
      <c r="BH29" s="1831"/>
      <c r="BI29" s="1836"/>
      <c r="BJ29" s="1841"/>
      <c r="BK29" s="1831"/>
      <c r="BL29" s="1831"/>
      <c r="BM29" s="1836"/>
      <c r="BN29" s="1841"/>
      <c r="BO29" s="1831"/>
      <c r="BP29" s="1831"/>
      <c r="BQ29" s="1836"/>
      <c r="BR29" s="1841"/>
      <c r="BS29" s="1831"/>
      <c r="BT29" s="1831"/>
      <c r="BU29" s="1836"/>
      <c r="BV29" s="1841"/>
      <c r="BW29" s="1831"/>
      <c r="BX29" s="1831"/>
      <c r="BY29" s="1836"/>
      <c r="BZ29" s="1841">
        <v>600</v>
      </c>
      <c r="CA29" s="1831"/>
      <c r="CB29" s="1831">
        <v>20390</v>
      </c>
      <c r="CC29" s="1836">
        <v>65000</v>
      </c>
      <c r="CD29" s="1841"/>
      <c r="CE29" s="1831"/>
      <c r="CF29" s="1831"/>
      <c r="CG29" s="1836"/>
      <c r="CH29" s="1841"/>
      <c r="CI29" s="1831"/>
      <c r="CJ29" s="1831"/>
      <c r="CK29" s="1836"/>
      <c r="CL29" s="1841"/>
      <c r="CM29" s="1831"/>
      <c r="CN29" s="1831"/>
      <c r="CO29" s="1836"/>
      <c r="CP29" s="1841"/>
      <c r="CQ29" s="1831"/>
      <c r="CR29" s="1831"/>
      <c r="CS29" s="1836"/>
      <c r="CT29" s="1872">
        <f t="shared" si="8"/>
        <v>600</v>
      </c>
      <c r="CU29" s="1872">
        <f t="shared" si="9"/>
        <v>0</v>
      </c>
      <c r="CV29" s="1872">
        <f t="shared" si="10"/>
        <v>20390</v>
      </c>
      <c r="CW29" s="1872">
        <f t="shared" si="11"/>
        <v>65000</v>
      </c>
    </row>
    <row r="30" spans="1:101" ht="16.5">
      <c r="A30" s="1848" t="s">
        <v>585</v>
      </c>
      <c r="B30" s="1843"/>
      <c r="C30" s="1831"/>
      <c r="D30" s="1833"/>
      <c r="E30" s="1850"/>
      <c r="F30" s="1835"/>
      <c r="G30" s="1831"/>
      <c r="H30" s="1831"/>
      <c r="I30" s="1836"/>
      <c r="J30" s="1841"/>
      <c r="K30" s="1831"/>
      <c r="L30" s="1831"/>
      <c r="M30" s="1836"/>
      <c r="N30" s="1841"/>
      <c r="O30" s="1831"/>
      <c r="P30" s="1831"/>
      <c r="Q30" s="1836"/>
      <c r="R30" s="1841"/>
      <c r="S30" s="1831"/>
      <c r="T30" s="1831"/>
      <c r="U30" s="1836"/>
      <c r="V30" s="1841"/>
      <c r="W30" s="1831"/>
      <c r="X30" s="1831"/>
      <c r="Y30" s="1836"/>
      <c r="Z30" s="1841"/>
      <c r="AA30" s="1831"/>
      <c r="AB30" s="1831"/>
      <c r="AC30" s="1836"/>
      <c r="AD30" s="1841"/>
      <c r="AE30" s="1831"/>
      <c r="AF30" s="1831"/>
      <c r="AG30" s="1836"/>
      <c r="AH30" s="1841"/>
      <c r="AI30" s="1831"/>
      <c r="AJ30" s="1831"/>
      <c r="AK30" s="1836"/>
      <c r="AL30" s="1841"/>
      <c r="AM30" s="1831"/>
      <c r="AN30" s="1831"/>
      <c r="AO30" s="1836"/>
      <c r="AP30" s="1841"/>
      <c r="AQ30" s="1831"/>
      <c r="AR30" s="1831"/>
      <c r="AS30" s="1836"/>
      <c r="AT30" s="1841"/>
      <c r="AU30" s="1831"/>
      <c r="AV30" s="1831"/>
      <c r="AW30" s="1836"/>
      <c r="AX30" s="1841"/>
      <c r="AY30" s="1831"/>
      <c r="AZ30" s="1831"/>
      <c r="BA30" s="1836"/>
      <c r="BB30" s="1841"/>
      <c r="BC30" s="1831"/>
      <c r="BD30" s="1831"/>
      <c r="BE30" s="1836"/>
      <c r="BF30" s="1841"/>
      <c r="BG30" s="1831"/>
      <c r="BH30" s="1831"/>
      <c r="BI30" s="1836"/>
      <c r="BJ30" s="1841"/>
      <c r="BK30" s="1831"/>
      <c r="BL30" s="1831"/>
      <c r="BM30" s="1836"/>
      <c r="BN30" s="1841"/>
      <c r="BO30" s="1831"/>
      <c r="BP30" s="1831"/>
      <c r="BQ30" s="1836"/>
      <c r="BR30" s="1841"/>
      <c r="BS30" s="1831"/>
      <c r="BT30" s="1831"/>
      <c r="BU30" s="1836"/>
      <c r="BV30" s="1841"/>
      <c r="BW30" s="1831"/>
      <c r="BX30" s="1831"/>
      <c r="BY30" s="1836"/>
      <c r="BZ30" s="1841">
        <v>1600</v>
      </c>
      <c r="CA30" s="1831"/>
      <c r="CB30" s="1831">
        <v>9458</v>
      </c>
      <c r="CC30" s="1836">
        <v>112400</v>
      </c>
      <c r="CD30" s="1841"/>
      <c r="CE30" s="1831"/>
      <c r="CF30" s="1831"/>
      <c r="CG30" s="1836"/>
      <c r="CH30" s="1841"/>
      <c r="CI30" s="1831"/>
      <c r="CJ30" s="1831"/>
      <c r="CK30" s="1836"/>
      <c r="CL30" s="1841"/>
      <c r="CM30" s="1831"/>
      <c r="CN30" s="1831"/>
      <c r="CO30" s="1836"/>
      <c r="CP30" s="1841"/>
      <c r="CQ30" s="1831"/>
      <c r="CR30" s="1831"/>
      <c r="CS30" s="1836"/>
      <c r="CT30" s="1872">
        <f t="shared" si="8"/>
        <v>1600</v>
      </c>
      <c r="CU30" s="1872">
        <f t="shared" si="9"/>
        <v>0</v>
      </c>
      <c r="CV30" s="1872">
        <f t="shared" si="10"/>
        <v>9458</v>
      </c>
      <c r="CW30" s="1872">
        <f t="shared" si="11"/>
        <v>112400</v>
      </c>
    </row>
    <row r="31" spans="1:101" ht="16.5">
      <c r="A31" s="1848" t="s">
        <v>586</v>
      </c>
      <c r="B31" s="1843"/>
      <c r="C31" s="1831"/>
      <c r="D31" s="1833"/>
      <c r="E31" s="1850"/>
      <c r="F31" s="1835"/>
      <c r="G31" s="1831"/>
      <c r="H31" s="1831"/>
      <c r="I31" s="1836"/>
      <c r="J31" s="1841"/>
      <c r="K31" s="1831"/>
      <c r="L31" s="1831"/>
      <c r="M31" s="1836"/>
      <c r="N31" s="1841"/>
      <c r="O31" s="1831"/>
      <c r="P31" s="1831"/>
      <c r="Q31" s="1836"/>
      <c r="R31" s="1841"/>
      <c r="S31" s="1831"/>
      <c r="T31" s="1831"/>
      <c r="U31" s="1836"/>
      <c r="V31" s="1841"/>
      <c r="W31" s="1831"/>
      <c r="X31" s="1831"/>
      <c r="Y31" s="1836"/>
      <c r="Z31" s="1841"/>
      <c r="AA31" s="1831"/>
      <c r="AB31" s="1831"/>
      <c r="AC31" s="1836"/>
      <c r="AD31" s="1841"/>
      <c r="AE31" s="1831"/>
      <c r="AF31" s="1831"/>
      <c r="AG31" s="1836"/>
      <c r="AH31" s="1841"/>
      <c r="AI31" s="1831"/>
      <c r="AJ31" s="1831"/>
      <c r="AK31" s="1836"/>
      <c r="AL31" s="1841"/>
      <c r="AM31" s="1831"/>
      <c r="AN31" s="1831"/>
      <c r="AO31" s="1836"/>
      <c r="AP31" s="1841"/>
      <c r="AQ31" s="1831"/>
      <c r="AR31" s="1831"/>
      <c r="AS31" s="1836"/>
      <c r="AT31" s="1841"/>
      <c r="AU31" s="1831"/>
      <c r="AV31" s="1831"/>
      <c r="AW31" s="1836"/>
      <c r="AX31" s="1841"/>
      <c r="AY31" s="1831"/>
      <c r="AZ31" s="1831"/>
      <c r="BA31" s="1836"/>
      <c r="BB31" s="1841"/>
      <c r="BC31" s="1831"/>
      <c r="BD31" s="1831"/>
      <c r="BE31" s="1836"/>
      <c r="BF31" s="1841"/>
      <c r="BG31" s="1831"/>
      <c r="BH31" s="1831"/>
      <c r="BI31" s="1836"/>
      <c r="BJ31" s="1841"/>
      <c r="BK31" s="1831"/>
      <c r="BL31" s="1831"/>
      <c r="BM31" s="1836"/>
      <c r="BN31" s="1841"/>
      <c r="BO31" s="1831"/>
      <c r="BP31" s="1831"/>
      <c r="BQ31" s="1836"/>
      <c r="BR31" s="1841"/>
      <c r="BS31" s="1831"/>
      <c r="BT31" s="1831"/>
      <c r="BU31" s="1836"/>
      <c r="BV31" s="1841"/>
      <c r="BW31" s="1831"/>
      <c r="BX31" s="1831"/>
      <c r="BY31" s="1836"/>
      <c r="BZ31" s="1841">
        <v>4300</v>
      </c>
      <c r="CA31" s="1831"/>
      <c r="CB31" s="1831">
        <v>11685</v>
      </c>
      <c r="CC31" s="1836">
        <v>231600</v>
      </c>
      <c r="CD31" s="1841"/>
      <c r="CE31" s="1831"/>
      <c r="CF31" s="1831"/>
      <c r="CG31" s="1836"/>
      <c r="CH31" s="1841"/>
      <c r="CI31" s="1831"/>
      <c r="CJ31" s="1831"/>
      <c r="CK31" s="1836"/>
      <c r="CL31" s="1841"/>
      <c r="CM31" s="1831"/>
      <c r="CN31" s="1831"/>
      <c r="CO31" s="1836"/>
      <c r="CP31" s="1841"/>
      <c r="CQ31" s="1831"/>
      <c r="CR31" s="1831"/>
      <c r="CS31" s="1836"/>
      <c r="CT31" s="1872">
        <f t="shared" si="8"/>
        <v>4300</v>
      </c>
      <c r="CU31" s="1872">
        <f t="shared" si="9"/>
        <v>0</v>
      </c>
      <c r="CV31" s="1872">
        <f t="shared" si="10"/>
        <v>11685</v>
      </c>
      <c r="CW31" s="1872">
        <f t="shared" si="11"/>
        <v>231600</v>
      </c>
    </row>
    <row r="32" spans="1:101" ht="16.5">
      <c r="A32" s="1848" t="s">
        <v>587</v>
      </c>
      <c r="B32" s="1843"/>
      <c r="C32" s="1831"/>
      <c r="D32" s="1833"/>
      <c r="E32" s="1850"/>
      <c r="F32" s="1835"/>
      <c r="G32" s="1831"/>
      <c r="H32" s="1831"/>
      <c r="I32" s="1836"/>
      <c r="J32" s="1841"/>
      <c r="K32" s="1831"/>
      <c r="L32" s="1831"/>
      <c r="M32" s="1836"/>
      <c r="N32" s="1841"/>
      <c r="O32" s="1831"/>
      <c r="P32" s="1831"/>
      <c r="Q32" s="1836"/>
      <c r="R32" s="1841"/>
      <c r="S32" s="1831"/>
      <c r="T32" s="1831"/>
      <c r="U32" s="1836"/>
      <c r="V32" s="1841"/>
      <c r="W32" s="1831"/>
      <c r="X32" s="1831"/>
      <c r="Y32" s="1836"/>
      <c r="Z32" s="1841"/>
      <c r="AA32" s="1831"/>
      <c r="AB32" s="1831"/>
      <c r="AC32" s="1836"/>
      <c r="AD32" s="1841"/>
      <c r="AE32" s="1831"/>
      <c r="AF32" s="1831"/>
      <c r="AG32" s="1836"/>
      <c r="AH32" s="1841"/>
      <c r="AI32" s="1831"/>
      <c r="AJ32" s="1831"/>
      <c r="AK32" s="1836"/>
      <c r="AL32" s="1841"/>
      <c r="AM32" s="1831"/>
      <c r="AN32" s="1831"/>
      <c r="AO32" s="1836"/>
      <c r="AP32" s="1841"/>
      <c r="AQ32" s="1831"/>
      <c r="AR32" s="1831"/>
      <c r="AS32" s="1836"/>
      <c r="AT32" s="1841"/>
      <c r="AU32" s="1831"/>
      <c r="AV32" s="1831"/>
      <c r="AW32" s="1836"/>
      <c r="AX32" s="1841"/>
      <c r="AY32" s="1831"/>
      <c r="AZ32" s="1831"/>
      <c r="BA32" s="1836"/>
      <c r="BB32" s="1841"/>
      <c r="BC32" s="1831"/>
      <c r="BD32" s="1831"/>
      <c r="BE32" s="1836"/>
      <c r="BF32" s="1841"/>
      <c r="BG32" s="1831"/>
      <c r="BH32" s="1831"/>
      <c r="BI32" s="1836"/>
      <c r="BJ32" s="1841"/>
      <c r="BK32" s="1831"/>
      <c r="BL32" s="1831"/>
      <c r="BM32" s="1836"/>
      <c r="BN32" s="1841"/>
      <c r="BO32" s="1831"/>
      <c r="BP32" s="1831"/>
      <c r="BQ32" s="1836"/>
      <c r="BR32" s="1841"/>
      <c r="BS32" s="1831"/>
      <c r="BT32" s="1831"/>
      <c r="BU32" s="1836"/>
      <c r="BV32" s="1841"/>
      <c r="BW32" s="1831"/>
      <c r="BX32" s="1831"/>
      <c r="BY32" s="1836"/>
      <c r="BZ32" s="1841">
        <v>4300</v>
      </c>
      <c r="CA32" s="1831"/>
      <c r="CB32" s="1831">
        <v>6936</v>
      </c>
      <c r="CC32" s="1836">
        <v>174100</v>
      </c>
      <c r="CD32" s="1841"/>
      <c r="CE32" s="1831"/>
      <c r="CF32" s="1831"/>
      <c r="CG32" s="1836"/>
      <c r="CH32" s="1841"/>
      <c r="CI32" s="1831"/>
      <c r="CJ32" s="1831"/>
      <c r="CK32" s="1836"/>
      <c r="CL32" s="1841"/>
      <c r="CM32" s="1831"/>
      <c r="CN32" s="1831"/>
      <c r="CO32" s="1836"/>
      <c r="CP32" s="1841"/>
      <c r="CQ32" s="1831"/>
      <c r="CR32" s="1831"/>
      <c r="CS32" s="1836"/>
      <c r="CT32" s="1872">
        <f t="shared" si="8"/>
        <v>4300</v>
      </c>
      <c r="CU32" s="1872">
        <f t="shared" si="9"/>
        <v>0</v>
      </c>
      <c r="CV32" s="1872">
        <f t="shared" si="10"/>
        <v>6936</v>
      </c>
      <c r="CW32" s="1872">
        <f t="shared" si="11"/>
        <v>174100</v>
      </c>
    </row>
    <row r="33" spans="1:101" ht="16.5">
      <c r="A33" s="1848" t="s">
        <v>588</v>
      </c>
      <c r="B33" s="1843"/>
      <c r="C33" s="1831"/>
      <c r="D33" s="1833"/>
      <c r="E33" s="1850"/>
      <c r="F33" s="1835"/>
      <c r="G33" s="1831"/>
      <c r="H33" s="1831"/>
      <c r="I33" s="1836"/>
      <c r="J33" s="1841"/>
      <c r="K33" s="1831"/>
      <c r="L33" s="1831"/>
      <c r="M33" s="1836"/>
      <c r="N33" s="1841"/>
      <c r="O33" s="1831"/>
      <c r="P33" s="1831"/>
      <c r="Q33" s="1836"/>
      <c r="R33" s="1841"/>
      <c r="S33" s="1831"/>
      <c r="T33" s="1831"/>
      <c r="U33" s="1836"/>
      <c r="V33" s="1841"/>
      <c r="W33" s="1831"/>
      <c r="X33" s="1831"/>
      <c r="Y33" s="1836"/>
      <c r="Z33" s="1841"/>
      <c r="AA33" s="1831"/>
      <c r="AB33" s="1831"/>
      <c r="AC33" s="1836"/>
      <c r="AD33" s="1841"/>
      <c r="AE33" s="1831"/>
      <c r="AF33" s="1831"/>
      <c r="AG33" s="1836"/>
      <c r="AH33" s="1841"/>
      <c r="AI33" s="1831"/>
      <c r="AJ33" s="1831"/>
      <c r="AK33" s="1836"/>
      <c r="AL33" s="1841"/>
      <c r="AM33" s="1831"/>
      <c r="AN33" s="1831"/>
      <c r="AO33" s="1836"/>
      <c r="AP33" s="1841"/>
      <c r="AQ33" s="1831"/>
      <c r="AR33" s="1831"/>
      <c r="AS33" s="1836"/>
      <c r="AT33" s="1841"/>
      <c r="AU33" s="1831"/>
      <c r="AV33" s="1831"/>
      <c r="AW33" s="1836"/>
      <c r="AX33" s="1841"/>
      <c r="AY33" s="1831"/>
      <c r="AZ33" s="1831"/>
      <c r="BA33" s="1836"/>
      <c r="BB33" s="1841"/>
      <c r="BC33" s="1831"/>
      <c r="BD33" s="1831"/>
      <c r="BE33" s="1836"/>
      <c r="BF33" s="1841"/>
      <c r="BG33" s="1831"/>
      <c r="BH33" s="1831"/>
      <c r="BI33" s="1836"/>
      <c r="BJ33" s="1841"/>
      <c r="BK33" s="1831"/>
      <c r="BL33" s="1831"/>
      <c r="BM33" s="1836"/>
      <c r="BN33" s="1841"/>
      <c r="BO33" s="1831"/>
      <c r="BP33" s="1831"/>
      <c r="BQ33" s="1836"/>
      <c r="BR33" s="1841"/>
      <c r="BS33" s="1831"/>
      <c r="BT33" s="1831"/>
      <c r="BU33" s="1836"/>
      <c r="BV33" s="1841"/>
      <c r="BW33" s="1831"/>
      <c r="BX33" s="1831"/>
      <c r="BY33" s="1836"/>
      <c r="BZ33" s="1841">
        <v>3600</v>
      </c>
      <c r="CA33" s="1831">
        <v>2</v>
      </c>
      <c r="CB33" s="1831">
        <v>4279</v>
      </c>
      <c r="CC33" s="1836">
        <v>119900</v>
      </c>
      <c r="CD33" s="1841"/>
      <c r="CE33" s="1831"/>
      <c r="CF33" s="1831"/>
      <c r="CG33" s="1836"/>
      <c r="CH33" s="1841"/>
      <c r="CI33" s="1831"/>
      <c r="CJ33" s="1831"/>
      <c r="CK33" s="1836"/>
      <c r="CL33" s="1841"/>
      <c r="CM33" s="1831"/>
      <c r="CN33" s="1831"/>
      <c r="CO33" s="1836"/>
      <c r="CP33" s="1841"/>
      <c r="CQ33" s="1831"/>
      <c r="CR33" s="1831"/>
      <c r="CS33" s="1836"/>
      <c r="CT33" s="1872">
        <f t="shared" si="8"/>
        <v>3600</v>
      </c>
      <c r="CU33" s="1872">
        <f t="shared" si="9"/>
        <v>2</v>
      </c>
      <c r="CV33" s="1872">
        <f t="shared" si="10"/>
        <v>4279</v>
      </c>
      <c r="CW33" s="1872">
        <f t="shared" si="11"/>
        <v>119900</v>
      </c>
    </row>
    <row r="34" spans="1:101" ht="16.5">
      <c r="A34" s="1848" t="s">
        <v>589</v>
      </c>
      <c r="B34" s="1843"/>
      <c r="C34" s="1831"/>
      <c r="D34" s="1833"/>
      <c r="E34" s="1850"/>
      <c r="F34" s="1835"/>
      <c r="G34" s="1831"/>
      <c r="H34" s="1831"/>
      <c r="I34" s="1836"/>
      <c r="J34" s="1841"/>
      <c r="K34" s="1831"/>
      <c r="L34" s="1831"/>
      <c r="M34" s="1836"/>
      <c r="N34" s="1841"/>
      <c r="O34" s="1831"/>
      <c r="P34" s="1831"/>
      <c r="Q34" s="1836"/>
      <c r="R34" s="1841"/>
      <c r="S34" s="1831"/>
      <c r="T34" s="1831"/>
      <c r="U34" s="1836"/>
      <c r="V34" s="1841"/>
      <c r="W34" s="1831"/>
      <c r="X34" s="1831"/>
      <c r="Y34" s="1836"/>
      <c r="Z34" s="1841"/>
      <c r="AA34" s="1831"/>
      <c r="AB34" s="1831"/>
      <c r="AC34" s="1836"/>
      <c r="AD34" s="1841"/>
      <c r="AE34" s="1831"/>
      <c r="AF34" s="1831"/>
      <c r="AG34" s="1836"/>
      <c r="AH34" s="1841"/>
      <c r="AI34" s="1831"/>
      <c r="AJ34" s="1831"/>
      <c r="AK34" s="1836"/>
      <c r="AL34" s="1841"/>
      <c r="AM34" s="1831"/>
      <c r="AN34" s="1831"/>
      <c r="AO34" s="1836"/>
      <c r="AP34" s="1841"/>
      <c r="AQ34" s="1831"/>
      <c r="AR34" s="1831"/>
      <c r="AS34" s="1836"/>
      <c r="AT34" s="1841"/>
      <c r="AU34" s="1831"/>
      <c r="AV34" s="1831"/>
      <c r="AW34" s="1836"/>
      <c r="AX34" s="1841"/>
      <c r="AY34" s="1831"/>
      <c r="AZ34" s="1831"/>
      <c r="BA34" s="1836"/>
      <c r="BB34" s="1841"/>
      <c r="BC34" s="1831"/>
      <c r="BD34" s="1831"/>
      <c r="BE34" s="1836"/>
      <c r="BF34" s="1841"/>
      <c r="BG34" s="1831"/>
      <c r="BH34" s="1831"/>
      <c r="BI34" s="1836"/>
      <c r="BJ34" s="1841"/>
      <c r="BK34" s="1831"/>
      <c r="BL34" s="1831"/>
      <c r="BM34" s="1836"/>
      <c r="BN34" s="1841"/>
      <c r="BO34" s="1831"/>
      <c r="BP34" s="1831"/>
      <c r="BQ34" s="1836"/>
      <c r="BR34" s="1841"/>
      <c r="BS34" s="1831"/>
      <c r="BT34" s="1831"/>
      <c r="BU34" s="1836"/>
      <c r="BV34" s="1841"/>
      <c r="BW34" s="1831"/>
      <c r="BX34" s="1831"/>
      <c r="BY34" s="1836"/>
      <c r="BZ34" s="1841">
        <v>3000</v>
      </c>
      <c r="CA34" s="1831"/>
      <c r="CB34" s="1831">
        <v>2712</v>
      </c>
      <c r="CC34" s="1836">
        <v>85200</v>
      </c>
      <c r="CD34" s="1841"/>
      <c r="CE34" s="1831"/>
      <c r="CF34" s="1831"/>
      <c r="CG34" s="1836"/>
      <c r="CH34" s="1841"/>
      <c r="CI34" s="1831"/>
      <c r="CJ34" s="1831"/>
      <c r="CK34" s="1836"/>
      <c r="CL34" s="1841"/>
      <c r="CM34" s="1831"/>
      <c r="CN34" s="1831"/>
      <c r="CO34" s="1836"/>
      <c r="CP34" s="1841"/>
      <c r="CQ34" s="1831"/>
      <c r="CR34" s="1831"/>
      <c r="CS34" s="1836"/>
      <c r="CT34" s="1872">
        <f t="shared" si="8"/>
        <v>3000</v>
      </c>
      <c r="CU34" s="1872">
        <f t="shared" si="9"/>
        <v>0</v>
      </c>
      <c r="CV34" s="1872">
        <f t="shared" si="10"/>
        <v>2712</v>
      </c>
      <c r="CW34" s="1872">
        <f t="shared" si="11"/>
        <v>85200</v>
      </c>
    </row>
    <row r="35" spans="1:101" ht="16.5">
      <c r="A35" s="1848" t="s">
        <v>590</v>
      </c>
      <c r="B35" s="1843"/>
      <c r="C35" s="1831"/>
      <c r="D35" s="1833"/>
      <c r="E35" s="1850"/>
      <c r="F35" s="1835"/>
      <c r="G35" s="1831"/>
      <c r="H35" s="1831"/>
      <c r="I35" s="1836"/>
      <c r="J35" s="1841"/>
      <c r="K35" s="1831"/>
      <c r="L35" s="1831"/>
      <c r="M35" s="1836"/>
      <c r="N35" s="1841"/>
      <c r="O35" s="1831"/>
      <c r="P35" s="1831"/>
      <c r="Q35" s="1836"/>
      <c r="R35" s="1841"/>
      <c r="S35" s="1831"/>
      <c r="T35" s="1831"/>
      <c r="U35" s="1836"/>
      <c r="V35" s="1841"/>
      <c r="W35" s="1831"/>
      <c r="X35" s="1831"/>
      <c r="Y35" s="1836"/>
      <c r="Z35" s="1841"/>
      <c r="AA35" s="1831"/>
      <c r="AB35" s="1831"/>
      <c r="AC35" s="1836"/>
      <c r="AD35" s="1841"/>
      <c r="AE35" s="1831"/>
      <c r="AF35" s="1831"/>
      <c r="AG35" s="1836"/>
      <c r="AH35" s="1841"/>
      <c r="AI35" s="1831"/>
      <c r="AJ35" s="1831"/>
      <c r="AK35" s="1836"/>
      <c r="AL35" s="1841"/>
      <c r="AM35" s="1831"/>
      <c r="AN35" s="1831"/>
      <c r="AO35" s="1836"/>
      <c r="AP35" s="1841"/>
      <c r="AQ35" s="1831"/>
      <c r="AR35" s="1831"/>
      <c r="AS35" s="1836"/>
      <c r="AT35" s="1841"/>
      <c r="AU35" s="1831"/>
      <c r="AV35" s="1831"/>
      <c r="AW35" s="1836"/>
      <c r="AX35" s="1841"/>
      <c r="AY35" s="1831"/>
      <c r="AZ35" s="1831"/>
      <c r="BA35" s="1836"/>
      <c r="BB35" s="1841"/>
      <c r="BC35" s="1831"/>
      <c r="BD35" s="1831"/>
      <c r="BE35" s="1836"/>
      <c r="BF35" s="1841"/>
      <c r="BG35" s="1831"/>
      <c r="BH35" s="1831"/>
      <c r="BI35" s="1836"/>
      <c r="BJ35" s="1841"/>
      <c r="BK35" s="1831"/>
      <c r="BL35" s="1831"/>
      <c r="BM35" s="1836"/>
      <c r="BN35" s="1841"/>
      <c r="BO35" s="1831"/>
      <c r="BP35" s="1831"/>
      <c r="BQ35" s="1836"/>
      <c r="BR35" s="1841"/>
      <c r="BS35" s="1831"/>
      <c r="BT35" s="1831"/>
      <c r="BU35" s="1836"/>
      <c r="BV35" s="1841"/>
      <c r="BW35" s="1831"/>
      <c r="BX35" s="1831"/>
      <c r="BY35" s="1836"/>
      <c r="BZ35" s="1841">
        <v>105700</v>
      </c>
      <c r="CA35" s="1831">
        <v>10</v>
      </c>
      <c r="CB35" s="1831">
        <v>35525</v>
      </c>
      <c r="CC35" s="1836">
        <v>2201700</v>
      </c>
      <c r="CD35" s="1841"/>
      <c r="CE35" s="1831"/>
      <c r="CF35" s="1831"/>
      <c r="CG35" s="1836"/>
      <c r="CH35" s="1841"/>
      <c r="CI35" s="1831"/>
      <c r="CJ35" s="1831"/>
      <c r="CK35" s="1836"/>
      <c r="CL35" s="1841"/>
      <c r="CM35" s="1831"/>
      <c r="CN35" s="1831"/>
      <c r="CO35" s="1836"/>
      <c r="CP35" s="1841">
        <v>301259.95</v>
      </c>
      <c r="CQ35" s="1831">
        <v>1</v>
      </c>
      <c r="CR35" s="1831">
        <v>897</v>
      </c>
      <c r="CS35" s="1836"/>
      <c r="CT35" s="1872">
        <f t="shared" si="8"/>
        <v>406959.95</v>
      </c>
      <c r="CU35" s="1872">
        <f t="shared" si="9"/>
        <v>11</v>
      </c>
      <c r="CV35" s="1872">
        <f t="shared" si="10"/>
        <v>36422</v>
      </c>
      <c r="CW35" s="1872">
        <f t="shared" si="11"/>
        <v>2201700</v>
      </c>
    </row>
    <row r="36" spans="1:101" ht="16.5">
      <c r="A36" s="1847" t="s">
        <v>596</v>
      </c>
      <c r="B36" s="1841"/>
      <c r="C36" s="1831"/>
      <c r="D36" s="1831"/>
      <c r="E36" s="1850"/>
      <c r="F36" s="1835"/>
      <c r="G36" s="1831"/>
      <c r="H36" s="1831"/>
      <c r="I36" s="1836"/>
      <c r="J36" s="1841"/>
      <c r="K36" s="1831"/>
      <c r="L36" s="1831"/>
      <c r="M36" s="1836"/>
      <c r="N36" s="1841"/>
      <c r="O36" s="1831"/>
      <c r="P36" s="1831"/>
      <c r="Q36" s="1836"/>
      <c r="R36" s="1841">
        <v>1</v>
      </c>
      <c r="S36" s="1831">
        <v>29448</v>
      </c>
      <c r="T36" s="1831">
        <v>29116</v>
      </c>
      <c r="U36" s="1836">
        <v>1247</v>
      </c>
      <c r="V36" s="1841"/>
      <c r="W36" s="1831"/>
      <c r="X36" s="1831"/>
      <c r="Y36" s="1836"/>
      <c r="Z36" s="1841"/>
      <c r="AA36" s="1831"/>
      <c r="AB36" s="1831"/>
      <c r="AC36" s="1836"/>
      <c r="AD36" s="1841"/>
      <c r="AE36" s="1831"/>
      <c r="AF36" s="1831"/>
      <c r="AG36" s="1836"/>
      <c r="AH36" s="1841"/>
      <c r="AI36" s="1831"/>
      <c r="AJ36" s="1831"/>
      <c r="AK36" s="1836"/>
      <c r="AL36" s="1841"/>
      <c r="AM36" s="1831"/>
      <c r="AN36" s="1831"/>
      <c r="AO36" s="1836"/>
      <c r="AP36" s="1841"/>
      <c r="AQ36" s="1831"/>
      <c r="AR36" s="1831"/>
      <c r="AS36" s="1836"/>
      <c r="AT36" s="1841"/>
      <c r="AU36" s="1831"/>
      <c r="AV36" s="1831"/>
      <c r="AW36" s="1836"/>
      <c r="AX36" s="1841"/>
      <c r="AY36" s="1831"/>
      <c r="AZ36" s="1831"/>
      <c r="BA36" s="1836"/>
      <c r="BB36" s="1841"/>
      <c r="BC36" s="1831"/>
      <c r="BD36" s="1831"/>
      <c r="BE36" s="1836"/>
      <c r="BF36" s="1841"/>
      <c r="BG36" s="1831"/>
      <c r="BH36" s="1831"/>
      <c r="BI36" s="1836"/>
      <c r="BJ36" s="1841"/>
      <c r="BK36" s="1831"/>
      <c r="BL36" s="1831"/>
      <c r="BM36" s="1836"/>
      <c r="BN36" s="1841"/>
      <c r="BO36" s="1831"/>
      <c r="BP36" s="1831"/>
      <c r="BQ36" s="1836"/>
      <c r="BR36" s="1841"/>
      <c r="BS36" s="1831"/>
      <c r="BT36" s="1831"/>
      <c r="BU36" s="1836"/>
      <c r="BV36" s="1841"/>
      <c r="BW36" s="1831"/>
      <c r="BX36" s="1831"/>
      <c r="BY36" s="1836"/>
      <c r="BZ36" s="1841"/>
      <c r="CA36" s="1831"/>
      <c r="CB36" s="1831"/>
      <c r="CC36" s="1836"/>
      <c r="CD36" s="1841"/>
      <c r="CE36" s="1831"/>
      <c r="CF36" s="1831"/>
      <c r="CG36" s="1836"/>
      <c r="CH36" s="1841"/>
      <c r="CI36" s="1831"/>
      <c r="CJ36" s="1831"/>
      <c r="CK36" s="1836"/>
      <c r="CL36" s="1841"/>
      <c r="CM36" s="1831"/>
      <c r="CN36" s="1831"/>
      <c r="CO36" s="1836"/>
      <c r="CP36" s="1841"/>
      <c r="CQ36" s="1831"/>
      <c r="CR36" s="1831"/>
      <c r="CS36" s="1836"/>
      <c r="CT36" s="1872">
        <f t="shared" si="8"/>
        <v>1</v>
      </c>
      <c r="CU36" s="1872">
        <f t="shared" si="9"/>
        <v>29448</v>
      </c>
      <c r="CV36" s="1872">
        <f t="shared" si="10"/>
        <v>29116</v>
      </c>
      <c r="CW36" s="1872">
        <f t="shared" si="11"/>
        <v>1247</v>
      </c>
    </row>
    <row r="37" spans="1:101" ht="16.5">
      <c r="A37" s="1848" t="s">
        <v>577</v>
      </c>
      <c r="B37" s="1842">
        <v>4120</v>
      </c>
      <c r="C37" s="1831">
        <v>15889</v>
      </c>
      <c r="D37" s="1834">
        <f>C37</f>
        <v>15889</v>
      </c>
      <c r="E37" s="1850">
        <v>244480</v>
      </c>
      <c r="F37" s="1835">
        <v>173</v>
      </c>
      <c r="G37" s="1831">
        <v>1902</v>
      </c>
      <c r="H37" s="1831">
        <v>1777</v>
      </c>
      <c r="I37" s="1836">
        <v>124282</v>
      </c>
      <c r="J37" s="1841">
        <v>-23.3</v>
      </c>
      <c r="K37" s="1831">
        <v>404</v>
      </c>
      <c r="L37" s="1831">
        <v>401</v>
      </c>
      <c r="M37" s="1836">
        <v>7213.5</v>
      </c>
      <c r="N37" s="1841">
        <v>2736</v>
      </c>
      <c r="O37" s="1831">
        <v>18649</v>
      </c>
      <c r="P37" s="1831">
        <v>18137</v>
      </c>
      <c r="Q37" s="1836">
        <v>126196</v>
      </c>
      <c r="R37" s="1841">
        <v>23</v>
      </c>
      <c r="S37" s="1831">
        <v>13635</v>
      </c>
      <c r="T37" s="1831">
        <v>13534</v>
      </c>
      <c r="U37" s="1836">
        <v>843</v>
      </c>
      <c r="V37" s="1841">
        <v>155</v>
      </c>
      <c r="W37" s="1831">
        <v>4424</v>
      </c>
      <c r="X37" s="1831">
        <v>3739</v>
      </c>
      <c r="Y37" s="1836">
        <v>78475.4</v>
      </c>
      <c r="Z37" s="1841">
        <v>33.71</v>
      </c>
      <c r="AA37" s="1831">
        <v>436</v>
      </c>
      <c r="AB37" s="1831">
        <v>431</v>
      </c>
      <c r="AC37" s="1836">
        <v>3738.15</v>
      </c>
      <c r="AD37" s="1841">
        <v>163</v>
      </c>
      <c r="AE37" s="1831">
        <v>2401</v>
      </c>
      <c r="AF37" s="1831">
        <v>2197</v>
      </c>
      <c r="AG37" s="1836">
        <v>109621</v>
      </c>
      <c r="AH37" s="1841">
        <v>242.44</v>
      </c>
      <c r="AI37" s="1831">
        <v>3436</v>
      </c>
      <c r="AJ37" s="1831">
        <v>3434</v>
      </c>
      <c r="AK37" s="1836">
        <v>37125.51</v>
      </c>
      <c r="AL37" s="1841">
        <v>372</v>
      </c>
      <c r="AM37" s="1831">
        <v>-15</v>
      </c>
      <c r="AN37" s="1831">
        <v>-62</v>
      </c>
      <c r="AO37" s="1836">
        <v>1021</v>
      </c>
      <c r="AP37" s="1841">
        <v>694.96</v>
      </c>
      <c r="AQ37" s="1831">
        <v>21496</v>
      </c>
      <c r="AR37" s="1831">
        <v>21496</v>
      </c>
      <c r="AS37" s="1836">
        <v>532179.82</v>
      </c>
      <c r="AT37" s="1841">
        <v>1026.3</v>
      </c>
      <c r="AU37" s="1831">
        <v>33384</v>
      </c>
      <c r="AV37" s="1831">
        <v>33393</v>
      </c>
      <c r="AW37" s="1836">
        <v>748181.8</v>
      </c>
      <c r="AX37" s="1841">
        <v>31</v>
      </c>
      <c r="AY37" s="1831">
        <v>677</v>
      </c>
      <c r="AZ37" s="1831">
        <f>AY37</f>
        <v>677</v>
      </c>
      <c r="BA37" s="1836">
        <v>18546</v>
      </c>
      <c r="BB37" s="1841">
        <v>248.71</v>
      </c>
      <c r="BC37" s="1831">
        <v>4841</v>
      </c>
      <c r="BD37" s="1831">
        <f>BC37</f>
        <v>4841</v>
      </c>
      <c r="BE37" s="1836">
        <v>25960.98</v>
      </c>
      <c r="BF37" s="1841">
        <v>122.07</v>
      </c>
      <c r="BG37" s="1831">
        <v>1887</v>
      </c>
      <c r="BH37" s="1831">
        <v>1882</v>
      </c>
      <c r="BI37" s="1836">
        <v>114123.1</v>
      </c>
      <c r="BJ37" s="1841">
        <v>1443</v>
      </c>
      <c r="BK37" s="1831">
        <v>20081</v>
      </c>
      <c r="BL37" s="1831">
        <v>18960</v>
      </c>
      <c r="BM37" s="1836">
        <v>925553</v>
      </c>
      <c r="BN37" s="1841">
        <v>125</v>
      </c>
      <c r="BO37" s="1831">
        <v>7172</v>
      </c>
      <c r="BP37" s="1831">
        <v>6813</v>
      </c>
      <c r="BQ37" s="1836">
        <v>256613</v>
      </c>
      <c r="BR37" s="1841">
        <v>73</v>
      </c>
      <c r="BS37" s="1831">
        <v>2323</v>
      </c>
      <c r="BT37" s="1831">
        <v>1330</v>
      </c>
      <c r="BU37" s="1836">
        <v>22846</v>
      </c>
      <c r="BV37" s="1841"/>
      <c r="BW37" s="1831"/>
      <c r="BX37" s="1831"/>
      <c r="BY37" s="1836"/>
      <c r="BZ37" s="1841">
        <v>1600</v>
      </c>
      <c r="CA37" s="1831">
        <v>27288</v>
      </c>
      <c r="CB37" s="1831">
        <f>CA37</f>
        <v>27288</v>
      </c>
      <c r="CC37" s="1836">
        <v>210500</v>
      </c>
      <c r="CD37" s="1841">
        <v>999.8</v>
      </c>
      <c r="CE37" s="1831">
        <v>23389</v>
      </c>
      <c r="CF37" s="1831">
        <v>23264</v>
      </c>
      <c r="CG37" s="1836">
        <v>101061.1</v>
      </c>
      <c r="CH37" s="1841">
        <v>127.81</v>
      </c>
      <c r="CI37" s="1831">
        <v>1637</v>
      </c>
      <c r="CJ37" s="1831">
        <f>CI37</f>
        <v>1637</v>
      </c>
      <c r="CK37" s="1836">
        <v>9400.45</v>
      </c>
      <c r="CL37" s="1841">
        <v>219</v>
      </c>
      <c r="CM37" s="1831">
        <v>18914</v>
      </c>
      <c r="CN37" s="1831">
        <v>17386</v>
      </c>
      <c r="CO37" s="1836">
        <v>184224</v>
      </c>
      <c r="CP37" s="1841">
        <v>80351.81</v>
      </c>
      <c r="CQ37" s="1831">
        <v>1645617</v>
      </c>
      <c r="CR37" s="1831">
        <v>1450768</v>
      </c>
      <c r="CS37" s="1836">
        <v>2112538.83</v>
      </c>
      <c r="CT37" s="1872">
        <f t="shared" si="8"/>
        <v>95057.31</v>
      </c>
      <c r="CU37" s="1872">
        <f t="shared" si="9"/>
        <v>1869867</v>
      </c>
      <c r="CV37" s="1872">
        <f t="shared" si="10"/>
        <v>1669212</v>
      </c>
      <c r="CW37" s="1872">
        <f t="shared" si="11"/>
        <v>5994723.640000001</v>
      </c>
    </row>
    <row r="38" spans="1:101" ht="16.5">
      <c r="A38" s="1848" t="s">
        <v>578</v>
      </c>
      <c r="B38" s="1842">
        <v>2221</v>
      </c>
      <c r="C38" s="1831">
        <v>12096</v>
      </c>
      <c r="D38" s="1834">
        <f aca="true" t="shared" si="14" ref="D38:D43">C38</f>
        <v>12096</v>
      </c>
      <c r="E38" s="1850">
        <v>201002</v>
      </c>
      <c r="F38" s="1835">
        <v>461</v>
      </c>
      <c r="G38" s="1831">
        <v>2395</v>
      </c>
      <c r="H38" s="1831">
        <v>2063</v>
      </c>
      <c r="I38" s="1836">
        <v>189198</v>
      </c>
      <c r="J38" s="1841">
        <v>173.1</v>
      </c>
      <c r="K38" s="1831">
        <v>974</v>
      </c>
      <c r="L38" s="1831">
        <v>974</v>
      </c>
      <c r="M38" s="1836">
        <v>17275.8</v>
      </c>
      <c r="N38" s="1841">
        <v>4902</v>
      </c>
      <c r="O38" s="1831">
        <v>16186</v>
      </c>
      <c r="P38" s="1831">
        <v>15025</v>
      </c>
      <c r="Q38" s="1836">
        <v>76178</v>
      </c>
      <c r="R38" s="1841">
        <v>34</v>
      </c>
      <c r="S38" s="1831">
        <v>9232</v>
      </c>
      <c r="T38" s="1831">
        <v>9177</v>
      </c>
      <c r="U38" s="1836">
        <v>563</v>
      </c>
      <c r="V38" s="1841">
        <v>1392.5</v>
      </c>
      <c r="W38" s="1831">
        <v>7014</v>
      </c>
      <c r="X38" s="1831">
        <v>6921</v>
      </c>
      <c r="Y38" s="1836">
        <v>72096.2</v>
      </c>
      <c r="Z38" s="1841">
        <v>281.64</v>
      </c>
      <c r="AA38" s="1831">
        <v>1615</v>
      </c>
      <c r="AB38" s="1831">
        <v>1596</v>
      </c>
      <c r="AC38" s="1836">
        <v>4803.13</v>
      </c>
      <c r="AD38" s="1841">
        <v>804</v>
      </c>
      <c r="AE38" s="1831">
        <v>5249</v>
      </c>
      <c r="AF38" s="1831">
        <v>5068</v>
      </c>
      <c r="AG38" s="1836">
        <v>234148</v>
      </c>
      <c r="AH38" s="1841">
        <v>3739.66</v>
      </c>
      <c r="AI38" s="1831">
        <v>21327</v>
      </c>
      <c r="AJ38" s="1831">
        <v>21096</v>
      </c>
      <c r="AK38" s="1836">
        <v>142998.82</v>
      </c>
      <c r="AL38" s="1841">
        <v>846</v>
      </c>
      <c r="AM38" s="1831">
        <v>4005</v>
      </c>
      <c r="AN38" s="1831">
        <v>3909</v>
      </c>
      <c r="AO38" s="1836">
        <v>33817</v>
      </c>
      <c r="AP38" s="1841">
        <v>7150.78</v>
      </c>
      <c r="AQ38" s="1831">
        <v>43271</v>
      </c>
      <c r="AR38" s="1831">
        <v>44077</v>
      </c>
      <c r="AS38" s="1836">
        <v>1306951.37</v>
      </c>
      <c r="AT38" s="1841">
        <v>4785.2</v>
      </c>
      <c r="AU38" s="1831">
        <v>32460</v>
      </c>
      <c r="AV38" s="1831">
        <v>32177</v>
      </c>
      <c r="AW38" s="1836">
        <v>1718129.4</v>
      </c>
      <c r="AX38" s="1841">
        <v>426</v>
      </c>
      <c r="AY38" s="1831">
        <v>2235</v>
      </c>
      <c r="AZ38" s="1831">
        <f aca="true" t="shared" si="15" ref="AZ38:AZ43">AY38</f>
        <v>2235</v>
      </c>
      <c r="BA38" s="1836">
        <v>35889</v>
      </c>
      <c r="BB38" s="1841">
        <v>2036.06</v>
      </c>
      <c r="BC38" s="1831">
        <v>11645</v>
      </c>
      <c r="BD38" s="1831">
        <f aca="true" t="shared" si="16" ref="BD38:BD43">BC38</f>
        <v>11645</v>
      </c>
      <c r="BE38" s="1836">
        <v>29661.29</v>
      </c>
      <c r="BF38" s="1841">
        <v>2818.61</v>
      </c>
      <c r="BG38" s="1831">
        <v>14150</v>
      </c>
      <c r="BH38" s="1831">
        <v>12180</v>
      </c>
      <c r="BI38" s="1836">
        <v>249620.29</v>
      </c>
      <c r="BJ38" s="1841">
        <v>3709</v>
      </c>
      <c r="BK38" s="1831">
        <v>24278</v>
      </c>
      <c r="BL38" s="1831">
        <v>23230</v>
      </c>
      <c r="BM38" s="1836">
        <v>1443817</v>
      </c>
      <c r="BN38" s="1841">
        <v>1752</v>
      </c>
      <c r="BO38" s="1831">
        <v>5960</v>
      </c>
      <c r="BP38" s="1831">
        <v>5686</v>
      </c>
      <c r="BQ38" s="1836">
        <v>86050</v>
      </c>
      <c r="BR38" s="1841">
        <v>4616</v>
      </c>
      <c r="BS38" s="1831">
        <v>24714</v>
      </c>
      <c r="BT38" s="1831">
        <v>24096</v>
      </c>
      <c r="BU38" s="1836">
        <v>78008</v>
      </c>
      <c r="BV38" s="1841"/>
      <c r="BW38" s="1831"/>
      <c r="BX38" s="1831"/>
      <c r="BY38" s="1836"/>
      <c r="BZ38" s="1841">
        <v>15300</v>
      </c>
      <c r="CA38" s="1831">
        <v>91216</v>
      </c>
      <c r="CB38" s="1831">
        <f aca="true" t="shared" si="17" ref="CB38:CB43">CA38</f>
        <v>91216</v>
      </c>
      <c r="CC38" s="1836">
        <v>767800</v>
      </c>
      <c r="CD38" s="1841">
        <v>2626.81</v>
      </c>
      <c r="CE38" s="1831">
        <v>15620</v>
      </c>
      <c r="CF38" s="1831">
        <v>15448</v>
      </c>
      <c r="CG38" s="1836">
        <v>27083.55</v>
      </c>
      <c r="CH38" s="1841">
        <v>375.63</v>
      </c>
      <c r="CI38" s="1831">
        <v>1662</v>
      </c>
      <c r="CJ38" s="1831">
        <f aca="true" t="shared" si="18" ref="CJ38:CJ43">CI38</f>
        <v>1662</v>
      </c>
      <c r="CK38" s="1836">
        <v>13823.49</v>
      </c>
      <c r="CL38" s="1841">
        <v>3685</v>
      </c>
      <c r="CM38" s="1831">
        <v>20295</v>
      </c>
      <c r="CN38" s="1831">
        <v>18935</v>
      </c>
      <c r="CO38" s="1836">
        <v>946034</v>
      </c>
      <c r="CP38" s="1841">
        <v>240855.63</v>
      </c>
      <c r="CQ38" s="1831">
        <v>1179040</v>
      </c>
      <c r="CR38" s="1831">
        <v>1102436</v>
      </c>
      <c r="CS38" s="1836">
        <v>3447279.66</v>
      </c>
      <c r="CT38" s="1872">
        <f t="shared" si="8"/>
        <v>304991.62</v>
      </c>
      <c r="CU38" s="1872">
        <f t="shared" si="9"/>
        <v>1546639</v>
      </c>
      <c r="CV38" s="1872">
        <f t="shared" si="10"/>
        <v>1462948</v>
      </c>
      <c r="CW38" s="1872">
        <f t="shared" si="11"/>
        <v>11122227</v>
      </c>
    </row>
    <row r="39" spans="1:101" ht="16.5">
      <c r="A39" s="1848" t="s">
        <v>579</v>
      </c>
      <c r="B39" s="1842">
        <v>3750</v>
      </c>
      <c r="C39" s="1831">
        <v>9790</v>
      </c>
      <c r="D39" s="1834">
        <f t="shared" si="14"/>
        <v>9790</v>
      </c>
      <c r="E39" s="1850">
        <v>150182</v>
      </c>
      <c r="F39" s="1835">
        <v>356</v>
      </c>
      <c r="G39" s="1831">
        <v>891</v>
      </c>
      <c r="H39" s="1831">
        <v>694</v>
      </c>
      <c r="I39" s="1836">
        <v>38061</v>
      </c>
      <c r="J39" s="1841">
        <v>461</v>
      </c>
      <c r="K39" s="1831">
        <v>1277</v>
      </c>
      <c r="L39" s="1831">
        <v>1274</v>
      </c>
      <c r="M39" s="1836">
        <v>13469.6</v>
      </c>
      <c r="N39" s="1841">
        <v>5442</v>
      </c>
      <c r="O39" s="1831">
        <v>11336</v>
      </c>
      <c r="P39" s="1831">
        <v>9556</v>
      </c>
      <c r="Q39" s="1836">
        <v>69492</v>
      </c>
      <c r="R39" s="1841">
        <v>16</v>
      </c>
      <c r="S39" s="1831">
        <v>2471</v>
      </c>
      <c r="T39" s="1831">
        <v>2454</v>
      </c>
      <c r="U39" s="1836">
        <v>212</v>
      </c>
      <c r="V39" s="1841">
        <v>2461.8</v>
      </c>
      <c r="W39" s="1831">
        <v>5939</v>
      </c>
      <c r="X39" s="1831">
        <v>5823</v>
      </c>
      <c r="Y39" s="1836">
        <v>30642.1</v>
      </c>
      <c r="Z39" s="1841">
        <v>2486.97</v>
      </c>
      <c r="AA39" s="1831">
        <v>6153</v>
      </c>
      <c r="AB39" s="1831">
        <v>6108</v>
      </c>
      <c r="AC39" s="1836">
        <v>16531.65</v>
      </c>
      <c r="AD39" s="1841">
        <v>1240</v>
      </c>
      <c r="AE39" s="1831">
        <v>3230</v>
      </c>
      <c r="AF39" s="1831">
        <v>3124</v>
      </c>
      <c r="AG39" s="1836">
        <v>69649</v>
      </c>
      <c r="AH39" s="1841">
        <v>3068.85</v>
      </c>
      <c r="AI39" s="1831">
        <v>8705</v>
      </c>
      <c r="AJ39" s="1831">
        <v>8645</v>
      </c>
      <c r="AK39" s="1836">
        <v>61960.34</v>
      </c>
      <c r="AL39" s="1841">
        <v>1234</v>
      </c>
      <c r="AM39" s="1831">
        <v>3335</v>
      </c>
      <c r="AN39" s="1831">
        <v>3228</v>
      </c>
      <c r="AO39" s="1836">
        <v>32354</v>
      </c>
      <c r="AP39" s="1841">
        <v>24943.58</v>
      </c>
      <c r="AQ39" s="1831">
        <v>66188</v>
      </c>
      <c r="AR39" s="1831">
        <v>66731</v>
      </c>
      <c r="AS39" s="1836">
        <v>919787.55</v>
      </c>
      <c r="AT39" s="1841">
        <v>14208.7</v>
      </c>
      <c r="AU39" s="1831">
        <v>34007</v>
      </c>
      <c r="AV39" s="1831">
        <v>33717</v>
      </c>
      <c r="AW39" s="1836">
        <v>1009694.7</v>
      </c>
      <c r="AX39" s="1841">
        <v>1441</v>
      </c>
      <c r="AY39" s="1831">
        <v>4314</v>
      </c>
      <c r="AZ39" s="1831">
        <v>3702</v>
      </c>
      <c r="BA39" s="1836">
        <v>21494</v>
      </c>
      <c r="BB39" s="1841">
        <v>2656.74</v>
      </c>
      <c r="BC39" s="1831">
        <v>6649</v>
      </c>
      <c r="BD39" s="1831">
        <f t="shared" si="16"/>
        <v>6649</v>
      </c>
      <c r="BE39" s="1836">
        <v>25674.59</v>
      </c>
      <c r="BF39" s="1841">
        <v>5031.07</v>
      </c>
      <c r="BG39" s="1831">
        <v>14286</v>
      </c>
      <c r="BH39" s="1831">
        <v>13947</v>
      </c>
      <c r="BI39" s="1836">
        <v>164708.48</v>
      </c>
      <c r="BJ39" s="1841">
        <v>11543</v>
      </c>
      <c r="BK39" s="1831">
        <v>29725</v>
      </c>
      <c r="BL39" s="1831">
        <v>29232</v>
      </c>
      <c r="BM39" s="1836">
        <v>471041</v>
      </c>
      <c r="BN39" s="1841">
        <v>5067</v>
      </c>
      <c r="BO39" s="1831">
        <v>9219</v>
      </c>
      <c r="BP39" s="1831">
        <v>8715</v>
      </c>
      <c r="BQ39" s="1836">
        <v>92710</v>
      </c>
      <c r="BR39" s="1841">
        <v>6129</v>
      </c>
      <c r="BS39" s="1831">
        <v>17528</v>
      </c>
      <c r="BT39" s="1831">
        <v>16666</v>
      </c>
      <c r="BU39" s="1836">
        <v>87439</v>
      </c>
      <c r="BV39" s="1841"/>
      <c r="BW39" s="1831"/>
      <c r="BX39" s="1831"/>
      <c r="BY39" s="1836"/>
      <c r="BZ39" s="1841">
        <v>41600</v>
      </c>
      <c r="CA39" s="1831">
        <v>99662</v>
      </c>
      <c r="CB39" s="1831">
        <f t="shared" si="17"/>
        <v>99662</v>
      </c>
      <c r="CC39" s="1836">
        <v>657400</v>
      </c>
      <c r="CD39" s="1841">
        <v>1844.18</v>
      </c>
      <c r="CE39" s="1831">
        <v>5153</v>
      </c>
      <c r="CF39" s="1831">
        <v>5043</v>
      </c>
      <c r="CG39" s="1836">
        <v>17685.78</v>
      </c>
      <c r="CH39" s="1841">
        <v>1661.23</v>
      </c>
      <c r="CI39" s="1831">
        <v>4348</v>
      </c>
      <c r="CJ39" s="1831">
        <f t="shared" si="18"/>
        <v>4348</v>
      </c>
      <c r="CK39" s="1836">
        <v>22951.1</v>
      </c>
      <c r="CL39" s="1841">
        <v>7477</v>
      </c>
      <c r="CM39" s="1831">
        <v>19569</v>
      </c>
      <c r="CN39" s="1831">
        <v>18307</v>
      </c>
      <c r="CO39" s="1836">
        <v>764894</v>
      </c>
      <c r="CP39" s="1841">
        <v>84442.18</v>
      </c>
      <c r="CQ39" s="1831">
        <v>296130</v>
      </c>
      <c r="CR39" s="1831">
        <v>286402</v>
      </c>
      <c r="CS39" s="1836">
        <v>1806710.68</v>
      </c>
      <c r="CT39" s="1872">
        <f t="shared" si="8"/>
        <v>228561.3</v>
      </c>
      <c r="CU39" s="1872">
        <f t="shared" si="9"/>
        <v>659905</v>
      </c>
      <c r="CV39" s="1872">
        <f t="shared" si="10"/>
        <v>643817</v>
      </c>
      <c r="CW39" s="1872">
        <f t="shared" si="11"/>
        <v>6544744.569999999</v>
      </c>
    </row>
    <row r="40" spans="1:101" ht="16.5">
      <c r="A40" s="1848" t="s">
        <v>580</v>
      </c>
      <c r="B40" s="1842">
        <v>2706</v>
      </c>
      <c r="C40" s="1831">
        <v>4468</v>
      </c>
      <c r="D40" s="1834">
        <f t="shared" si="14"/>
        <v>4468</v>
      </c>
      <c r="E40" s="1850">
        <v>84197</v>
      </c>
      <c r="F40" s="1835">
        <v>122</v>
      </c>
      <c r="G40" s="1831">
        <v>189</v>
      </c>
      <c r="H40" s="1831">
        <v>141</v>
      </c>
      <c r="I40" s="1836">
        <v>9162</v>
      </c>
      <c r="J40" s="1841">
        <v>177.9</v>
      </c>
      <c r="K40" s="1831">
        <v>334</v>
      </c>
      <c r="L40" s="1831">
        <v>332</v>
      </c>
      <c r="M40" s="1836">
        <v>4001.9</v>
      </c>
      <c r="N40" s="1841">
        <v>2464</v>
      </c>
      <c r="O40" s="1831">
        <v>3902</v>
      </c>
      <c r="P40" s="1831">
        <v>3019</v>
      </c>
      <c r="Q40" s="1836">
        <v>33361</v>
      </c>
      <c r="R40" s="1841">
        <v>17</v>
      </c>
      <c r="S40" s="1831">
        <v>1819</v>
      </c>
      <c r="T40" s="1831">
        <v>1809</v>
      </c>
      <c r="U40" s="1836">
        <v>204</v>
      </c>
      <c r="V40" s="1841">
        <v>569.7</v>
      </c>
      <c r="W40" s="1831">
        <v>973</v>
      </c>
      <c r="X40" s="1831">
        <v>948</v>
      </c>
      <c r="Y40" s="1836">
        <v>6564.7</v>
      </c>
      <c r="Z40" s="1841">
        <v>982.87</v>
      </c>
      <c r="AA40" s="1831">
        <v>1438</v>
      </c>
      <c r="AB40" s="1831">
        <v>1428</v>
      </c>
      <c r="AC40" s="1836">
        <v>10731.21</v>
      </c>
      <c r="AD40" s="1841">
        <v>715</v>
      </c>
      <c r="AE40" s="1831">
        <v>927</v>
      </c>
      <c r="AF40" s="1831">
        <v>872</v>
      </c>
      <c r="AG40" s="1836">
        <v>17408</v>
      </c>
      <c r="AH40" s="1841">
        <v>1299.27</v>
      </c>
      <c r="AI40" s="1831">
        <v>2160</v>
      </c>
      <c r="AJ40" s="1831">
        <v>2131</v>
      </c>
      <c r="AK40" s="1836">
        <v>21922.62</v>
      </c>
      <c r="AL40" s="1841">
        <v>622</v>
      </c>
      <c r="AM40" s="1831">
        <v>1046</v>
      </c>
      <c r="AN40" s="1831">
        <v>996</v>
      </c>
      <c r="AO40" s="1836">
        <v>12067</v>
      </c>
      <c r="AP40" s="1841">
        <v>8131.86</v>
      </c>
      <c r="AQ40" s="1831">
        <v>15534</v>
      </c>
      <c r="AR40" s="1831">
        <v>16069</v>
      </c>
      <c r="AS40" s="1836">
        <v>328448.84</v>
      </c>
      <c r="AT40" s="1841">
        <v>9132</v>
      </c>
      <c r="AU40" s="1831">
        <v>15145</v>
      </c>
      <c r="AV40" s="1831">
        <v>14976</v>
      </c>
      <c r="AW40" s="1836">
        <v>428303.1</v>
      </c>
      <c r="AX40" s="1841">
        <v>808</v>
      </c>
      <c r="AY40" s="1831">
        <v>1547</v>
      </c>
      <c r="AZ40" s="1831">
        <f t="shared" si="15"/>
        <v>1547</v>
      </c>
      <c r="BA40" s="1836">
        <v>10132</v>
      </c>
      <c r="BB40" s="1841">
        <v>489.45</v>
      </c>
      <c r="BC40" s="1831">
        <v>818</v>
      </c>
      <c r="BD40" s="1831">
        <f t="shared" si="16"/>
        <v>818</v>
      </c>
      <c r="BE40" s="1836">
        <v>5494.08</v>
      </c>
      <c r="BF40" s="1841">
        <v>2258.34</v>
      </c>
      <c r="BG40" s="1831">
        <v>4037</v>
      </c>
      <c r="BH40" s="1831">
        <v>4138</v>
      </c>
      <c r="BI40" s="1836">
        <v>61458.63</v>
      </c>
      <c r="BJ40" s="1841">
        <v>8337</v>
      </c>
      <c r="BK40" s="1831">
        <v>15043</v>
      </c>
      <c r="BL40" s="1831">
        <v>1425</v>
      </c>
      <c r="BM40" s="1836">
        <v>196227</v>
      </c>
      <c r="BN40" s="1841">
        <v>3265</v>
      </c>
      <c r="BO40" s="1831">
        <v>5947</v>
      </c>
      <c r="BP40" s="1831">
        <v>5451</v>
      </c>
      <c r="BQ40" s="1836">
        <v>48927</v>
      </c>
      <c r="BR40" s="1841">
        <v>1631</v>
      </c>
      <c r="BS40" s="1831">
        <v>2808</v>
      </c>
      <c r="BT40" s="1831">
        <v>2629</v>
      </c>
      <c r="BU40" s="1836">
        <v>22178</v>
      </c>
      <c r="BV40" s="1841"/>
      <c r="BW40" s="1831"/>
      <c r="BX40" s="1831"/>
      <c r="BY40" s="1836"/>
      <c r="BZ40" s="1841">
        <v>9100</v>
      </c>
      <c r="CA40" s="1831">
        <v>17531</v>
      </c>
      <c r="CB40" s="1831">
        <f t="shared" si="17"/>
        <v>17531</v>
      </c>
      <c r="CC40" s="1836">
        <v>155300</v>
      </c>
      <c r="CD40" s="1841">
        <v>651.17</v>
      </c>
      <c r="CE40" s="1831">
        <v>1139</v>
      </c>
      <c r="CF40" s="1831">
        <v>1106</v>
      </c>
      <c r="CG40" s="1836">
        <v>6008.08</v>
      </c>
      <c r="CH40" s="1841">
        <v>503.91</v>
      </c>
      <c r="CI40" s="1831">
        <v>886</v>
      </c>
      <c r="CJ40" s="1831">
        <f t="shared" si="18"/>
        <v>886</v>
      </c>
      <c r="CK40" s="1836">
        <v>6485.68</v>
      </c>
      <c r="CL40" s="1841">
        <v>3408</v>
      </c>
      <c r="CM40" s="1831">
        <v>5574</v>
      </c>
      <c r="CN40" s="1831">
        <v>5071</v>
      </c>
      <c r="CO40" s="1836">
        <v>314208</v>
      </c>
      <c r="CP40" s="1841">
        <v>34206.85</v>
      </c>
      <c r="CQ40" s="1831">
        <v>67666</v>
      </c>
      <c r="CR40" s="1831">
        <v>65714</v>
      </c>
      <c r="CS40" s="1836">
        <v>732581.16</v>
      </c>
      <c r="CT40" s="1872">
        <f t="shared" si="8"/>
        <v>91598.32</v>
      </c>
      <c r="CU40" s="1872">
        <f t="shared" si="9"/>
        <v>170931</v>
      </c>
      <c r="CV40" s="1872">
        <f t="shared" si="10"/>
        <v>153505</v>
      </c>
      <c r="CW40" s="1872">
        <f t="shared" si="11"/>
        <v>2515371</v>
      </c>
    </row>
    <row r="41" spans="1:101" ht="16.5">
      <c r="A41" s="1848" t="s">
        <v>581</v>
      </c>
      <c r="B41" s="1842">
        <v>1842</v>
      </c>
      <c r="C41" s="1831">
        <v>1797</v>
      </c>
      <c r="D41" s="1834">
        <f t="shared" si="14"/>
        <v>1797</v>
      </c>
      <c r="E41" s="1850">
        <v>46264</v>
      </c>
      <c r="F41" s="1835">
        <v>185</v>
      </c>
      <c r="G41" s="1831">
        <v>191</v>
      </c>
      <c r="H41" s="1831">
        <v>160</v>
      </c>
      <c r="I41" s="1836">
        <v>5399</v>
      </c>
      <c r="J41" s="1841">
        <v>341.1</v>
      </c>
      <c r="K41" s="1831">
        <v>347</v>
      </c>
      <c r="L41" s="1831">
        <v>347</v>
      </c>
      <c r="M41" s="1836">
        <v>5366.5</v>
      </c>
      <c r="N41" s="1841">
        <v>3736</v>
      </c>
      <c r="O41" s="1831">
        <v>3604</v>
      </c>
      <c r="P41" s="1831">
        <v>2655</v>
      </c>
      <c r="Q41" s="1836">
        <v>39874</v>
      </c>
      <c r="R41" s="1841">
        <v>6</v>
      </c>
      <c r="S41" s="1831">
        <v>503</v>
      </c>
      <c r="T41" s="1831">
        <v>494</v>
      </c>
      <c r="U41" s="1836">
        <v>88</v>
      </c>
      <c r="V41" s="1841">
        <v>2237.9</v>
      </c>
      <c r="W41" s="1831">
        <v>2302</v>
      </c>
      <c r="X41" s="1831">
        <v>2253</v>
      </c>
      <c r="Y41" s="1836">
        <v>17265.4</v>
      </c>
      <c r="Z41" s="1841">
        <v>149.02</v>
      </c>
      <c r="AA41" s="1831">
        <v>158</v>
      </c>
      <c r="AB41" s="1831">
        <v>152</v>
      </c>
      <c r="AC41" s="1836">
        <v>1616.48</v>
      </c>
      <c r="AD41" s="1841">
        <v>601</v>
      </c>
      <c r="AE41" s="1831">
        <v>568</v>
      </c>
      <c r="AF41" s="1831">
        <v>538</v>
      </c>
      <c r="AG41" s="1836">
        <v>10928</v>
      </c>
      <c r="AH41" s="1841">
        <v>1222.55</v>
      </c>
      <c r="AI41" s="1831">
        <v>1284</v>
      </c>
      <c r="AJ41" s="1831">
        <v>1262</v>
      </c>
      <c r="AK41" s="1836">
        <v>14864.48</v>
      </c>
      <c r="AL41" s="1841">
        <v>532</v>
      </c>
      <c r="AM41" s="1831">
        <v>548</v>
      </c>
      <c r="AN41" s="1831">
        <v>526</v>
      </c>
      <c r="AO41" s="1836">
        <v>8237</v>
      </c>
      <c r="AP41" s="1841">
        <v>22440.42</v>
      </c>
      <c r="AQ41" s="1831">
        <v>23945</v>
      </c>
      <c r="AR41" s="1831">
        <v>24024</v>
      </c>
      <c r="AS41" s="1836">
        <v>347121.57</v>
      </c>
      <c r="AT41" s="1841">
        <v>13905.4</v>
      </c>
      <c r="AU41" s="1831">
        <v>14276</v>
      </c>
      <c r="AV41" s="1831">
        <v>14159</v>
      </c>
      <c r="AW41" s="1836">
        <v>313501.8</v>
      </c>
      <c r="AX41" s="1841">
        <v>501</v>
      </c>
      <c r="AY41" s="1831">
        <v>535</v>
      </c>
      <c r="AZ41" s="1831">
        <f t="shared" si="15"/>
        <v>535</v>
      </c>
      <c r="BA41" s="1836">
        <v>6609</v>
      </c>
      <c r="BB41" s="1841">
        <v>2396.11</v>
      </c>
      <c r="BC41" s="1831">
        <v>2454</v>
      </c>
      <c r="BD41" s="1831">
        <f t="shared" si="16"/>
        <v>2454</v>
      </c>
      <c r="BE41" s="1836">
        <v>21134.33</v>
      </c>
      <c r="BF41" s="1841">
        <v>2254.11</v>
      </c>
      <c r="BG41" s="1831">
        <v>2387</v>
      </c>
      <c r="BH41" s="1831">
        <v>2379</v>
      </c>
      <c r="BI41" s="1836">
        <v>40279.12</v>
      </c>
      <c r="BJ41" s="1841">
        <v>11058</v>
      </c>
      <c r="BK41" s="1831">
        <v>11200</v>
      </c>
      <c r="BL41" s="1831">
        <v>11187</v>
      </c>
      <c r="BM41" s="1836">
        <v>139770</v>
      </c>
      <c r="BN41" s="1841">
        <v>4347</v>
      </c>
      <c r="BO41" s="1831">
        <v>3646</v>
      </c>
      <c r="BP41" s="1831">
        <v>3173</v>
      </c>
      <c r="BQ41" s="1836">
        <v>39705</v>
      </c>
      <c r="BR41" s="1841">
        <v>2291</v>
      </c>
      <c r="BS41" s="1831">
        <v>2512</v>
      </c>
      <c r="BT41" s="1831">
        <v>2302</v>
      </c>
      <c r="BU41" s="1836">
        <v>29628</v>
      </c>
      <c r="BV41" s="1841"/>
      <c r="BW41" s="1831"/>
      <c r="BX41" s="1831"/>
      <c r="BY41" s="1836"/>
      <c r="BZ41" s="1841">
        <v>22800</v>
      </c>
      <c r="CA41" s="1831">
        <v>23707</v>
      </c>
      <c r="CB41" s="1831">
        <f t="shared" si="17"/>
        <v>23707</v>
      </c>
      <c r="CC41" s="1836">
        <v>205400</v>
      </c>
      <c r="CD41" s="1841">
        <v>781.12</v>
      </c>
      <c r="CE41" s="1831">
        <v>819</v>
      </c>
      <c r="CF41" s="1831">
        <v>752</v>
      </c>
      <c r="CG41" s="1836">
        <v>7090.32</v>
      </c>
      <c r="CH41" s="1841">
        <v>2841.95</v>
      </c>
      <c r="CI41" s="1831">
        <v>2857</v>
      </c>
      <c r="CJ41" s="1831">
        <f t="shared" si="18"/>
        <v>2857</v>
      </c>
      <c r="CK41" s="1836">
        <v>29783.7</v>
      </c>
      <c r="CL41" s="1841">
        <v>5230</v>
      </c>
      <c r="CM41" s="1831">
        <v>5676</v>
      </c>
      <c r="CN41" s="1831">
        <v>5325</v>
      </c>
      <c r="CO41" s="1836">
        <v>208760</v>
      </c>
      <c r="CP41" s="1841">
        <v>16458.53</v>
      </c>
      <c r="CQ41" s="1831">
        <v>21561</v>
      </c>
      <c r="CR41" s="1831">
        <v>20805</v>
      </c>
      <c r="CS41" s="1836">
        <v>304516.97</v>
      </c>
      <c r="CT41" s="1872">
        <f t="shared" si="8"/>
        <v>118157.20999999999</v>
      </c>
      <c r="CU41" s="1872">
        <f t="shared" si="9"/>
        <v>126877</v>
      </c>
      <c r="CV41" s="1872">
        <f t="shared" si="10"/>
        <v>123843</v>
      </c>
      <c r="CW41" s="1872">
        <f t="shared" si="11"/>
        <v>1843202.67</v>
      </c>
    </row>
    <row r="42" spans="1:101" ht="16.5">
      <c r="A42" s="1848" t="s">
        <v>582</v>
      </c>
      <c r="B42" s="1842">
        <v>2859</v>
      </c>
      <c r="C42" s="1831">
        <v>2490</v>
      </c>
      <c r="D42" s="1834">
        <f t="shared" si="14"/>
        <v>2490</v>
      </c>
      <c r="E42" s="1850">
        <v>55488</v>
      </c>
      <c r="F42" s="1835">
        <v>49</v>
      </c>
      <c r="G42" s="1831">
        <v>36</v>
      </c>
      <c r="H42" s="1831">
        <v>31</v>
      </c>
      <c r="I42" s="1836">
        <v>6317</v>
      </c>
      <c r="J42" s="1841">
        <v>76.7</v>
      </c>
      <c r="K42" s="1831">
        <v>67</v>
      </c>
      <c r="L42" s="1831">
        <v>67</v>
      </c>
      <c r="M42" s="1836">
        <v>1474.9</v>
      </c>
      <c r="N42" s="1841">
        <v>1426</v>
      </c>
      <c r="O42" s="1831">
        <v>1257</v>
      </c>
      <c r="P42" s="1831">
        <v>953</v>
      </c>
      <c r="Q42" s="1836">
        <v>19816</v>
      </c>
      <c r="R42" s="1841">
        <v>22</v>
      </c>
      <c r="S42" s="1831">
        <v>584</v>
      </c>
      <c r="T42" s="1831">
        <v>586</v>
      </c>
      <c r="U42" s="1836">
        <v>203</v>
      </c>
      <c r="V42" s="1841">
        <v>347.8</v>
      </c>
      <c r="W42" s="1831">
        <v>326</v>
      </c>
      <c r="X42" s="1831">
        <v>322</v>
      </c>
      <c r="Y42" s="1836">
        <v>3304.4</v>
      </c>
      <c r="Z42" s="1841">
        <v>59.26</v>
      </c>
      <c r="AA42" s="1831">
        <v>53</v>
      </c>
      <c r="AB42" s="1831">
        <v>51</v>
      </c>
      <c r="AC42" s="1836">
        <v>717.66</v>
      </c>
      <c r="AD42" s="1841">
        <v>364</v>
      </c>
      <c r="AE42" s="1831">
        <v>233</v>
      </c>
      <c r="AF42" s="1831">
        <v>221</v>
      </c>
      <c r="AG42" s="1836">
        <v>7228</v>
      </c>
      <c r="AH42" s="1841">
        <v>331.01</v>
      </c>
      <c r="AI42" s="1831">
        <v>290</v>
      </c>
      <c r="AJ42" s="1831">
        <v>283</v>
      </c>
      <c r="AK42" s="1836">
        <v>6175.92</v>
      </c>
      <c r="AL42" s="1841">
        <v>241</v>
      </c>
      <c r="AM42" s="1831">
        <v>219</v>
      </c>
      <c r="AN42" s="1831">
        <v>206</v>
      </c>
      <c r="AO42" s="1836">
        <v>3374</v>
      </c>
      <c r="AP42" s="1841">
        <v>4882.49</v>
      </c>
      <c r="AQ42" s="1831">
        <v>5406</v>
      </c>
      <c r="AR42" s="1831">
        <v>5565</v>
      </c>
      <c r="AS42" s="1836">
        <v>134573.9</v>
      </c>
      <c r="AT42" s="1841">
        <v>4459.3</v>
      </c>
      <c r="AU42" s="1831">
        <v>4206</v>
      </c>
      <c r="AV42" s="1831">
        <v>4188</v>
      </c>
      <c r="AW42" s="1836">
        <v>154268.1</v>
      </c>
      <c r="AX42" s="1841">
        <v>633</v>
      </c>
      <c r="AY42" s="1831">
        <v>633</v>
      </c>
      <c r="AZ42" s="1831">
        <f t="shared" si="15"/>
        <v>633</v>
      </c>
      <c r="BA42" s="1836">
        <v>7256</v>
      </c>
      <c r="BB42" s="1841">
        <v>505.06</v>
      </c>
      <c r="BC42" s="1831">
        <v>464</v>
      </c>
      <c r="BD42" s="1831">
        <f t="shared" si="16"/>
        <v>464</v>
      </c>
      <c r="BE42" s="1836">
        <v>323.08</v>
      </c>
      <c r="BF42" s="1841">
        <v>1335.87</v>
      </c>
      <c r="BG42" s="1831">
        <v>1254</v>
      </c>
      <c r="BH42" s="1831">
        <v>1345</v>
      </c>
      <c r="BI42" s="1836">
        <v>29851.88</v>
      </c>
      <c r="BJ42" s="1841">
        <v>4283</v>
      </c>
      <c r="BK42" s="1831">
        <v>257</v>
      </c>
      <c r="BL42" s="1831">
        <f>BK42</f>
        <v>257</v>
      </c>
      <c r="BM42" s="1836">
        <v>77988</v>
      </c>
      <c r="BN42" s="1841">
        <v>1151</v>
      </c>
      <c r="BO42" s="1831">
        <v>1793</v>
      </c>
      <c r="BP42" s="1831">
        <v>1291</v>
      </c>
      <c r="BQ42" s="1836">
        <v>21044</v>
      </c>
      <c r="BR42" s="1841">
        <v>677</v>
      </c>
      <c r="BS42" s="1831">
        <v>609</v>
      </c>
      <c r="BT42" s="1831">
        <v>556</v>
      </c>
      <c r="BU42" s="1836">
        <v>8342</v>
      </c>
      <c r="BV42" s="1841"/>
      <c r="BW42" s="1831"/>
      <c r="BX42" s="1831"/>
      <c r="BY42" s="1836"/>
      <c r="BZ42" s="1841">
        <v>3800</v>
      </c>
      <c r="CA42" s="1831">
        <v>3877</v>
      </c>
      <c r="CB42" s="1831">
        <f t="shared" si="17"/>
        <v>3877</v>
      </c>
      <c r="CC42" s="1836">
        <v>52800</v>
      </c>
      <c r="CD42" s="1841">
        <v>339.86</v>
      </c>
      <c r="CE42" s="1831">
        <v>315</v>
      </c>
      <c r="CF42" s="1831">
        <v>304</v>
      </c>
      <c r="CG42" s="1836">
        <v>3068.83</v>
      </c>
      <c r="CH42" s="1841">
        <v>204.74</v>
      </c>
      <c r="CI42" s="1831">
        <v>185</v>
      </c>
      <c r="CJ42" s="1831">
        <f t="shared" si="18"/>
        <v>185</v>
      </c>
      <c r="CK42" s="1836">
        <v>3560.58</v>
      </c>
      <c r="CL42" s="1841">
        <v>1553</v>
      </c>
      <c r="CM42" s="1831">
        <v>1354</v>
      </c>
      <c r="CN42" s="1831">
        <v>1207</v>
      </c>
      <c r="CO42" s="1836">
        <v>112208</v>
      </c>
      <c r="CP42" s="1841">
        <v>11731.64</v>
      </c>
      <c r="CQ42" s="1831">
        <v>11909</v>
      </c>
      <c r="CR42" s="1831">
        <v>11532</v>
      </c>
      <c r="CS42" s="1836">
        <v>222735.92</v>
      </c>
      <c r="CT42" s="1872">
        <f t="shared" si="8"/>
        <v>41331.73</v>
      </c>
      <c r="CU42" s="1872">
        <f t="shared" si="9"/>
        <v>37817</v>
      </c>
      <c r="CV42" s="1872">
        <f t="shared" si="10"/>
        <v>36614</v>
      </c>
      <c r="CW42" s="1872">
        <f t="shared" si="11"/>
        <v>932119.17</v>
      </c>
    </row>
    <row r="43" spans="1:101" ht="16.5">
      <c r="A43" s="1848" t="s">
        <v>583</v>
      </c>
      <c r="B43" s="1844">
        <v>11630</v>
      </c>
      <c r="C43" s="1831">
        <v>3171</v>
      </c>
      <c r="D43" s="1834">
        <f t="shared" si="14"/>
        <v>3171</v>
      </c>
      <c r="E43" s="1850">
        <v>229013</v>
      </c>
      <c r="F43" s="1835">
        <v>397</v>
      </c>
      <c r="G43" s="1831">
        <v>141</v>
      </c>
      <c r="H43" s="1831">
        <v>118</v>
      </c>
      <c r="I43" s="1836">
        <v>5281</v>
      </c>
      <c r="J43" s="1841">
        <v>784.9</v>
      </c>
      <c r="K43" s="1831">
        <v>237</v>
      </c>
      <c r="L43" s="1831">
        <v>237</v>
      </c>
      <c r="M43" s="1836">
        <v>12491.1</v>
      </c>
      <c r="N43" s="1841">
        <v>12358</v>
      </c>
      <c r="O43" s="1831">
        <v>3636</v>
      </c>
      <c r="P43" s="1831">
        <v>2494</v>
      </c>
      <c r="Q43" s="1836">
        <v>141400</v>
      </c>
      <c r="R43" s="1841"/>
      <c r="S43" s="1831"/>
      <c r="T43" s="1831"/>
      <c r="U43" s="1836"/>
      <c r="V43" s="1841">
        <v>8679.8</v>
      </c>
      <c r="W43" s="1831">
        <v>2778</v>
      </c>
      <c r="X43" s="1831">
        <v>2696</v>
      </c>
      <c r="Y43" s="1836">
        <v>87118.2</v>
      </c>
      <c r="Z43" s="1841">
        <v>-8.27</v>
      </c>
      <c r="AA43" s="1831">
        <v>31</v>
      </c>
      <c r="AB43" s="1831">
        <v>32</v>
      </c>
      <c r="AC43" s="1836">
        <v>-641</v>
      </c>
      <c r="AD43" s="1841">
        <v>877</v>
      </c>
      <c r="AE43" s="1831">
        <v>302</v>
      </c>
      <c r="AF43" s="1831">
        <v>279</v>
      </c>
      <c r="AG43" s="1836">
        <v>20032</v>
      </c>
      <c r="AH43" s="1841">
        <v>1242.7</v>
      </c>
      <c r="AI43" s="1831">
        <v>549</v>
      </c>
      <c r="AJ43" s="1831">
        <v>528</v>
      </c>
      <c r="AK43" s="1836">
        <v>21580.27</v>
      </c>
      <c r="AL43" s="1841">
        <v>1712</v>
      </c>
      <c r="AM43" s="1831">
        <v>417</v>
      </c>
      <c r="AN43" s="1831">
        <v>373</v>
      </c>
      <c r="AO43" s="1836">
        <v>17161</v>
      </c>
      <c r="AP43" s="1841">
        <v>53487.16</v>
      </c>
      <c r="AQ43" s="1831">
        <v>16773</v>
      </c>
      <c r="AR43" s="1831">
        <v>16861</v>
      </c>
      <c r="AS43" s="1836">
        <v>849758.3</v>
      </c>
      <c r="AT43" s="1841">
        <v>79404.9</v>
      </c>
      <c r="AU43" s="1831">
        <v>25953</v>
      </c>
      <c r="AV43" s="1831">
        <v>25640</v>
      </c>
      <c r="AW43" s="1836">
        <v>1180176.7</v>
      </c>
      <c r="AX43" s="1841">
        <v>1138</v>
      </c>
      <c r="AY43" s="1831">
        <v>452</v>
      </c>
      <c r="AZ43" s="1831">
        <f t="shared" si="15"/>
        <v>452</v>
      </c>
      <c r="BA43" s="1836">
        <v>13709</v>
      </c>
      <c r="BB43" s="1841">
        <v>3533.22</v>
      </c>
      <c r="BC43" s="1831">
        <v>1312</v>
      </c>
      <c r="BD43" s="1831">
        <f t="shared" si="16"/>
        <v>1312</v>
      </c>
      <c r="BE43" s="1836">
        <v>27335.62</v>
      </c>
      <c r="BF43" s="1841">
        <v>7083.36</v>
      </c>
      <c r="BG43" s="1831">
        <v>2424</v>
      </c>
      <c r="BH43" s="1831">
        <v>2410</v>
      </c>
      <c r="BI43" s="1836">
        <v>124118.78</v>
      </c>
      <c r="BJ43" s="1841">
        <v>21326</v>
      </c>
      <c r="BK43" s="1831">
        <v>7870</v>
      </c>
      <c r="BL43" s="1831">
        <f>BK43</f>
        <v>7870</v>
      </c>
      <c r="BM43" s="1836">
        <v>286318</v>
      </c>
      <c r="BN43" s="1841">
        <v>7915</v>
      </c>
      <c r="BO43" s="1831">
        <v>5510</v>
      </c>
      <c r="BP43" s="1831">
        <v>3814</v>
      </c>
      <c r="BQ43" s="1836">
        <v>122298</v>
      </c>
      <c r="BR43" s="1841">
        <v>4877</v>
      </c>
      <c r="BS43" s="1831">
        <v>1909</v>
      </c>
      <c r="BT43" s="1831">
        <v>1737</v>
      </c>
      <c r="BU43" s="1836">
        <v>49268</v>
      </c>
      <c r="BV43" s="1841"/>
      <c r="BW43" s="1831"/>
      <c r="BX43" s="1831"/>
      <c r="BY43" s="1836"/>
      <c r="BZ43" s="1841">
        <v>65300</v>
      </c>
      <c r="CA43" s="1831">
        <v>25829</v>
      </c>
      <c r="CB43" s="1831">
        <f t="shared" si="17"/>
        <v>25829</v>
      </c>
      <c r="CC43" s="1836">
        <v>54800</v>
      </c>
      <c r="CD43" s="1841">
        <v>678.59</v>
      </c>
      <c r="CE43" s="1831">
        <v>315</v>
      </c>
      <c r="CF43" s="1831">
        <v>295</v>
      </c>
      <c r="CG43" s="1836">
        <v>6074.33</v>
      </c>
      <c r="CH43" s="1841">
        <v>2408.35</v>
      </c>
      <c r="CI43" s="1831">
        <v>1043</v>
      </c>
      <c r="CJ43" s="1831">
        <f t="shared" si="18"/>
        <v>1043</v>
      </c>
      <c r="CK43" s="1836">
        <v>26854.96</v>
      </c>
      <c r="CL43" s="1841">
        <v>23329</v>
      </c>
      <c r="CM43" s="1831">
        <v>7914</v>
      </c>
      <c r="CN43" s="1831">
        <v>7444</v>
      </c>
      <c r="CO43" s="1836">
        <v>663820</v>
      </c>
      <c r="CP43" s="1841">
        <v>28970.55</v>
      </c>
      <c r="CQ43" s="1831">
        <v>13509</v>
      </c>
      <c r="CR43" s="1831">
        <v>12665</v>
      </c>
      <c r="CS43" s="1836">
        <v>524954.71</v>
      </c>
      <c r="CT43" s="1872">
        <f t="shared" si="8"/>
        <v>337124.26</v>
      </c>
      <c r="CU43" s="1872">
        <f t="shared" si="9"/>
        <v>122075</v>
      </c>
      <c r="CV43" s="1872">
        <f t="shared" si="10"/>
        <v>117300</v>
      </c>
      <c r="CW43" s="1872">
        <f t="shared" si="11"/>
        <v>4462921.970000001</v>
      </c>
    </row>
    <row r="44" spans="1:101" ht="16.5">
      <c r="A44" s="1847" t="s">
        <v>597</v>
      </c>
      <c r="B44" s="1841"/>
      <c r="C44" s="1831"/>
      <c r="D44" s="1831"/>
      <c r="E44" s="1850"/>
      <c r="F44" s="1835"/>
      <c r="G44" s="1831"/>
      <c r="H44" s="1831"/>
      <c r="I44" s="1836"/>
      <c r="J44" s="1841"/>
      <c r="K44" s="1831"/>
      <c r="L44" s="1831"/>
      <c r="M44" s="1836"/>
      <c r="N44" s="1841"/>
      <c r="O44" s="1831"/>
      <c r="P44" s="1831"/>
      <c r="Q44" s="1836"/>
      <c r="R44" s="1841"/>
      <c r="S44" s="1831"/>
      <c r="T44" s="1831"/>
      <c r="U44" s="1836"/>
      <c r="V44" s="1841"/>
      <c r="W44" s="1831"/>
      <c r="X44" s="1831"/>
      <c r="Y44" s="1836"/>
      <c r="Z44" s="1841"/>
      <c r="AA44" s="1831"/>
      <c r="AB44" s="1831"/>
      <c r="AC44" s="1836"/>
      <c r="AD44" s="1841"/>
      <c r="AE44" s="1831"/>
      <c r="AF44" s="1831"/>
      <c r="AG44" s="1836"/>
      <c r="AH44" s="1841"/>
      <c r="AI44" s="1831"/>
      <c r="AJ44" s="1831"/>
      <c r="AK44" s="1836"/>
      <c r="AL44" s="1841"/>
      <c r="AM44" s="1831"/>
      <c r="AN44" s="1831"/>
      <c r="AO44" s="1836"/>
      <c r="AP44" s="1841"/>
      <c r="AQ44" s="1831"/>
      <c r="AR44" s="1831"/>
      <c r="AS44" s="1836"/>
      <c r="AT44" s="1841"/>
      <c r="AU44" s="1831"/>
      <c r="AV44" s="1831"/>
      <c r="AW44" s="1836"/>
      <c r="AX44" s="1841"/>
      <c r="AY44" s="1831"/>
      <c r="AZ44" s="1831"/>
      <c r="BA44" s="1836"/>
      <c r="BB44" s="1841"/>
      <c r="BC44" s="1831"/>
      <c r="BD44" s="1831"/>
      <c r="BE44" s="1836"/>
      <c r="BF44" s="1841"/>
      <c r="BG44" s="1831"/>
      <c r="BH44" s="1831"/>
      <c r="BI44" s="1836"/>
      <c r="BJ44" s="1841"/>
      <c r="BK44" s="1831"/>
      <c r="BL44" s="1831"/>
      <c r="BM44" s="1836"/>
      <c r="BN44" s="1841"/>
      <c r="BO44" s="1831"/>
      <c r="BP44" s="1831"/>
      <c r="BQ44" s="1836"/>
      <c r="BR44" s="1841"/>
      <c r="BS44" s="1831"/>
      <c r="BT44" s="1831"/>
      <c r="BU44" s="1836"/>
      <c r="BV44" s="1841"/>
      <c r="BW44" s="1831"/>
      <c r="BX44" s="1831"/>
      <c r="BY44" s="1836"/>
      <c r="BZ44" s="1841"/>
      <c r="CA44" s="1831"/>
      <c r="CB44" s="1831"/>
      <c r="CC44" s="1836"/>
      <c r="CD44" s="1841"/>
      <c r="CE44" s="1831"/>
      <c r="CF44" s="1831"/>
      <c r="CG44" s="1836"/>
      <c r="CH44" s="1841"/>
      <c r="CI44" s="1831"/>
      <c r="CJ44" s="1831"/>
      <c r="CK44" s="1836"/>
      <c r="CL44" s="1841"/>
      <c r="CM44" s="1831"/>
      <c r="CN44" s="1831"/>
      <c r="CO44" s="1836"/>
      <c r="CP44" s="1841"/>
      <c r="CQ44" s="1831"/>
      <c r="CR44" s="1831"/>
      <c r="CS44" s="1836"/>
      <c r="CT44" s="1872">
        <f t="shared" si="8"/>
        <v>0</v>
      </c>
      <c r="CU44" s="1872">
        <f t="shared" si="9"/>
        <v>0</v>
      </c>
      <c r="CV44" s="1872">
        <f t="shared" si="10"/>
        <v>0</v>
      </c>
      <c r="CW44" s="1872">
        <f t="shared" si="11"/>
        <v>0</v>
      </c>
    </row>
    <row r="45" spans="1:101" ht="16.5">
      <c r="A45" s="1848" t="s">
        <v>584</v>
      </c>
      <c r="B45" s="1843"/>
      <c r="C45" s="1831"/>
      <c r="D45" s="1833"/>
      <c r="E45" s="1850"/>
      <c r="F45" s="1835"/>
      <c r="G45" s="1831"/>
      <c r="H45" s="1831"/>
      <c r="I45" s="1836"/>
      <c r="J45" s="1841"/>
      <c r="K45" s="1831"/>
      <c r="L45" s="1831"/>
      <c r="M45" s="1836"/>
      <c r="N45" s="1841"/>
      <c r="O45" s="1831"/>
      <c r="P45" s="1831"/>
      <c r="Q45" s="1836"/>
      <c r="R45" s="1841"/>
      <c r="S45" s="1831"/>
      <c r="T45" s="1831"/>
      <c r="U45" s="1836"/>
      <c r="V45" s="1841"/>
      <c r="W45" s="1831"/>
      <c r="X45" s="1831"/>
      <c r="Y45" s="1836"/>
      <c r="Z45" s="1841"/>
      <c r="AA45" s="1831"/>
      <c r="AB45" s="1831"/>
      <c r="AC45" s="1836"/>
      <c r="AD45" s="1841"/>
      <c r="AE45" s="1831"/>
      <c r="AF45" s="1831"/>
      <c r="AG45" s="1836"/>
      <c r="AH45" s="1841">
        <v>12.26</v>
      </c>
      <c r="AI45" s="1831">
        <v>8</v>
      </c>
      <c r="AJ45" s="1831">
        <f aca="true" t="shared" si="19" ref="AJ45:AJ50">AI45</f>
        <v>8</v>
      </c>
      <c r="AK45" s="1836"/>
      <c r="AL45" s="1841"/>
      <c r="AM45" s="1831"/>
      <c r="AN45" s="1831"/>
      <c r="AO45" s="1836"/>
      <c r="AP45" s="1841"/>
      <c r="AQ45" s="1831"/>
      <c r="AR45" s="1831"/>
      <c r="AS45" s="1836"/>
      <c r="AT45" s="1841"/>
      <c r="AU45" s="1831"/>
      <c r="AV45" s="1831"/>
      <c r="AW45" s="1836"/>
      <c r="AX45" s="1841"/>
      <c r="AY45" s="1831"/>
      <c r="AZ45" s="1831"/>
      <c r="BA45" s="1836"/>
      <c r="BB45" s="1841"/>
      <c r="BC45" s="1831"/>
      <c r="BD45" s="1831"/>
      <c r="BE45" s="1836"/>
      <c r="BF45" s="1841">
        <v>6.28</v>
      </c>
      <c r="BG45" s="1831">
        <v>16</v>
      </c>
      <c r="BH45" s="1831">
        <f>BG45</f>
        <v>16</v>
      </c>
      <c r="BI45" s="1836">
        <v>63.33</v>
      </c>
      <c r="BJ45" s="1841">
        <v>13</v>
      </c>
      <c r="BK45" s="1831">
        <v>40</v>
      </c>
      <c r="BL45" s="1831">
        <f>BK45</f>
        <v>40</v>
      </c>
      <c r="BM45" s="1836">
        <v>32</v>
      </c>
      <c r="BN45" s="1841">
        <v>11</v>
      </c>
      <c r="BO45" s="1831">
        <v>51</v>
      </c>
      <c r="BP45" s="1831">
        <v>46</v>
      </c>
      <c r="BQ45" s="1836">
        <v>838</v>
      </c>
      <c r="BR45" s="1841"/>
      <c r="BS45" s="1831"/>
      <c r="BT45" s="1831"/>
      <c r="BU45" s="1836"/>
      <c r="BV45" s="1841"/>
      <c r="BW45" s="1831"/>
      <c r="BX45" s="1831"/>
      <c r="BY45" s="1836"/>
      <c r="BZ45" s="1841"/>
      <c r="CA45" s="1831"/>
      <c r="CB45" s="1831"/>
      <c r="CC45" s="1836"/>
      <c r="CD45" s="1841"/>
      <c r="CE45" s="1831"/>
      <c r="CF45" s="1831"/>
      <c r="CG45" s="1836"/>
      <c r="CH45" s="1841"/>
      <c r="CI45" s="1831"/>
      <c r="CJ45" s="1831"/>
      <c r="CK45" s="1836"/>
      <c r="CL45" s="1841"/>
      <c r="CM45" s="1831"/>
      <c r="CN45" s="1831"/>
      <c r="CO45" s="1836"/>
      <c r="CP45" s="1841">
        <v>248.98</v>
      </c>
      <c r="CQ45" s="1831">
        <v>1093</v>
      </c>
      <c r="CR45" s="1831">
        <v>1032</v>
      </c>
      <c r="CS45" s="1836">
        <v>4154.35</v>
      </c>
      <c r="CT45" s="1872">
        <f t="shared" si="8"/>
        <v>291.52</v>
      </c>
      <c r="CU45" s="1872">
        <f t="shared" si="9"/>
        <v>1208</v>
      </c>
      <c r="CV45" s="1872">
        <f t="shared" si="10"/>
        <v>1142</v>
      </c>
      <c r="CW45" s="1872">
        <f t="shared" si="11"/>
        <v>5087.68</v>
      </c>
    </row>
    <row r="46" spans="1:101" ht="16.5">
      <c r="A46" s="1848" t="s">
        <v>585</v>
      </c>
      <c r="B46" s="1843"/>
      <c r="C46" s="1831"/>
      <c r="D46" s="1833"/>
      <c r="E46" s="1850"/>
      <c r="F46" s="1835"/>
      <c r="G46" s="1831"/>
      <c r="H46" s="1831"/>
      <c r="I46" s="1836"/>
      <c r="J46" s="1841"/>
      <c r="K46" s="1831"/>
      <c r="L46" s="1831"/>
      <c r="M46" s="1836"/>
      <c r="N46" s="1841"/>
      <c r="O46" s="1831"/>
      <c r="P46" s="1831"/>
      <c r="Q46" s="1836"/>
      <c r="R46" s="1841"/>
      <c r="S46" s="1831"/>
      <c r="T46" s="1831"/>
      <c r="U46" s="1836"/>
      <c r="V46" s="1841"/>
      <c r="W46" s="1831"/>
      <c r="X46" s="1831"/>
      <c r="Y46" s="1836"/>
      <c r="Z46" s="1841"/>
      <c r="AA46" s="1831"/>
      <c r="AB46" s="1831"/>
      <c r="AC46" s="1836"/>
      <c r="AD46" s="1841"/>
      <c r="AE46" s="1831"/>
      <c r="AF46" s="1831"/>
      <c r="AG46" s="1836"/>
      <c r="AH46" s="1841">
        <v>-1.81</v>
      </c>
      <c r="AI46" s="1831">
        <v>-3</v>
      </c>
      <c r="AJ46" s="1831">
        <f t="shared" si="19"/>
        <v>-3</v>
      </c>
      <c r="AK46" s="1836"/>
      <c r="AL46" s="1841"/>
      <c r="AM46" s="1831"/>
      <c r="AN46" s="1831"/>
      <c r="AO46" s="1836"/>
      <c r="AP46" s="1841"/>
      <c r="AQ46" s="1831"/>
      <c r="AR46" s="1831"/>
      <c r="AS46" s="1836"/>
      <c r="AT46" s="1841"/>
      <c r="AU46" s="1831"/>
      <c r="AV46" s="1831"/>
      <c r="AW46" s="1836"/>
      <c r="AX46" s="1841"/>
      <c r="AY46" s="1831"/>
      <c r="AZ46" s="1831"/>
      <c r="BA46" s="1836"/>
      <c r="BB46" s="1841"/>
      <c r="BC46" s="1831"/>
      <c r="BD46" s="1831"/>
      <c r="BE46" s="1836"/>
      <c r="BF46" s="1841">
        <v>10.93</v>
      </c>
      <c r="BG46" s="1831">
        <v>16</v>
      </c>
      <c r="BH46" s="1831">
        <f aca="true" t="shared" si="20" ref="BH46:BH51">BG46</f>
        <v>16</v>
      </c>
      <c r="BI46" s="1836">
        <v>114.84</v>
      </c>
      <c r="BJ46" s="1841">
        <v>165</v>
      </c>
      <c r="BK46" s="1831">
        <v>196</v>
      </c>
      <c r="BL46" s="1831">
        <f aca="true" t="shared" si="21" ref="BL46:BL51">BK46</f>
        <v>196</v>
      </c>
      <c r="BM46" s="1836">
        <v>332</v>
      </c>
      <c r="BN46" s="1841">
        <v>40</v>
      </c>
      <c r="BO46" s="1831">
        <v>38</v>
      </c>
      <c r="BP46" s="1831">
        <v>31</v>
      </c>
      <c r="BQ46" s="1836">
        <v>239</v>
      </c>
      <c r="BR46" s="1841"/>
      <c r="BS46" s="1831"/>
      <c r="BT46" s="1831"/>
      <c r="BU46" s="1836"/>
      <c r="BV46" s="1841"/>
      <c r="BW46" s="1831"/>
      <c r="BX46" s="1831"/>
      <c r="BY46" s="1836"/>
      <c r="BZ46" s="1841"/>
      <c r="CA46" s="1831"/>
      <c r="CB46" s="1831"/>
      <c r="CC46" s="1836"/>
      <c r="CD46" s="1841"/>
      <c r="CE46" s="1831"/>
      <c r="CF46" s="1831"/>
      <c r="CG46" s="1836"/>
      <c r="CH46" s="1841"/>
      <c r="CI46" s="1831"/>
      <c r="CJ46" s="1831"/>
      <c r="CK46" s="1836"/>
      <c r="CL46" s="1841"/>
      <c r="CM46" s="1831"/>
      <c r="CN46" s="1831"/>
      <c r="CO46" s="1836"/>
      <c r="CP46" s="1841">
        <v>86.66</v>
      </c>
      <c r="CQ46" s="1831">
        <v>165</v>
      </c>
      <c r="CR46" s="1831">
        <v>162</v>
      </c>
      <c r="CS46" s="1836">
        <v>2166.15</v>
      </c>
      <c r="CT46" s="1872">
        <f t="shared" si="8"/>
        <v>300.78</v>
      </c>
      <c r="CU46" s="1872">
        <f t="shared" si="9"/>
        <v>412</v>
      </c>
      <c r="CV46" s="1872">
        <f t="shared" si="10"/>
        <v>402</v>
      </c>
      <c r="CW46" s="1872">
        <f t="shared" si="11"/>
        <v>2851.9900000000002</v>
      </c>
    </row>
    <row r="47" spans="1:101" ht="16.5">
      <c r="A47" s="1848" t="s">
        <v>586</v>
      </c>
      <c r="B47" s="1843"/>
      <c r="C47" s="1831"/>
      <c r="D47" s="1833"/>
      <c r="E47" s="1850"/>
      <c r="F47" s="1835"/>
      <c r="G47" s="1831"/>
      <c r="H47" s="1831"/>
      <c r="I47" s="1836"/>
      <c r="J47" s="1841"/>
      <c r="K47" s="1831"/>
      <c r="L47" s="1831"/>
      <c r="M47" s="1836"/>
      <c r="N47" s="1841"/>
      <c r="O47" s="1831"/>
      <c r="P47" s="1831"/>
      <c r="Q47" s="1836"/>
      <c r="R47" s="1841"/>
      <c r="S47" s="1831"/>
      <c r="T47" s="1831"/>
      <c r="U47" s="1836"/>
      <c r="V47" s="1841"/>
      <c r="W47" s="1831"/>
      <c r="X47" s="1831"/>
      <c r="Y47" s="1836"/>
      <c r="Z47" s="1841"/>
      <c r="AA47" s="1831"/>
      <c r="AB47" s="1831"/>
      <c r="AC47" s="1836"/>
      <c r="AD47" s="1841"/>
      <c r="AE47" s="1831"/>
      <c r="AF47" s="1831"/>
      <c r="AG47" s="1836"/>
      <c r="AH47" s="1841">
        <v>-1.16</v>
      </c>
      <c r="AI47" s="1831">
        <v>-1</v>
      </c>
      <c r="AJ47" s="1831">
        <f t="shared" si="19"/>
        <v>-1</v>
      </c>
      <c r="AK47" s="1836"/>
      <c r="AL47" s="1841"/>
      <c r="AM47" s="1831"/>
      <c r="AN47" s="1831"/>
      <c r="AO47" s="1836"/>
      <c r="AP47" s="1841"/>
      <c r="AQ47" s="1831"/>
      <c r="AR47" s="1831"/>
      <c r="AS47" s="1836"/>
      <c r="AT47" s="1841"/>
      <c r="AU47" s="1831"/>
      <c r="AV47" s="1831"/>
      <c r="AW47" s="1836"/>
      <c r="AX47" s="1841"/>
      <c r="AY47" s="1831"/>
      <c r="AZ47" s="1831"/>
      <c r="BA47" s="1836"/>
      <c r="BB47" s="1841"/>
      <c r="BC47" s="1831"/>
      <c r="BD47" s="1831"/>
      <c r="BE47" s="1836"/>
      <c r="BF47" s="1841">
        <v>5.94</v>
      </c>
      <c r="BG47" s="1831">
        <v>5</v>
      </c>
      <c r="BH47" s="1831">
        <f t="shared" si="20"/>
        <v>5</v>
      </c>
      <c r="BI47" s="1836">
        <v>56.72</v>
      </c>
      <c r="BJ47" s="1841">
        <v>48</v>
      </c>
      <c r="BK47" s="1831">
        <v>38</v>
      </c>
      <c r="BL47" s="1831">
        <f t="shared" si="21"/>
        <v>38</v>
      </c>
      <c r="BM47" s="1836">
        <v>101</v>
      </c>
      <c r="BN47" s="1841">
        <v>19</v>
      </c>
      <c r="BO47" s="1831">
        <v>5</v>
      </c>
      <c r="BP47" s="1831">
        <v>5</v>
      </c>
      <c r="BQ47" s="1836">
        <v>42</v>
      </c>
      <c r="BR47" s="1841"/>
      <c r="BS47" s="1831"/>
      <c r="BT47" s="1831"/>
      <c r="BU47" s="1836"/>
      <c r="BV47" s="1841"/>
      <c r="BW47" s="1831"/>
      <c r="BX47" s="1831"/>
      <c r="BY47" s="1836"/>
      <c r="BZ47" s="1841"/>
      <c r="CA47" s="1831"/>
      <c r="CB47" s="1831"/>
      <c r="CC47" s="1836"/>
      <c r="CD47" s="1841"/>
      <c r="CE47" s="1831"/>
      <c r="CF47" s="1831"/>
      <c r="CG47" s="1836"/>
      <c r="CH47" s="1841"/>
      <c r="CI47" s="1831"/>
      <c r="CJ47" s="1831"/>
      <c r="CK47" s="1836"/>
      <c r="CL47" s="1841"/>
      <c r="CM47" s="1831"/>
      <c r="CN47" s="1831"/>
      <c r="CO47" s="1836"/>
      <c r="CP47" s="1841">
        <v>34.05</v>
      </c>
      <c r="CQ47" s="1831">
        <v>32</v>
      </c>
      <c r="CR47" s="1831">
        <v>32</v>
      </c>
      <c r="CS47" s="1836">
        <v>506.3</v>
      </c>
      <c r="CT47" s="1872">
        <f t="shared" si="8"/>
        <v>105.83</v>
      </c>
      <c r="CU47" s="1872">
        <f t="shared" si="9"/>
        <v>79</v>
      </c>
      <c r="CV47" s="1872">
        <f t="shared" si="10"/>
        <v>79</v>
      </c>
      <c r="CW47" s="1872">
        <f t="shared" si="11"/>
        <v>706.02</v>
      </c>
    </row>
    <row r="48" spans="1:101" ht="16.5">
      <c r="A48" s="1848" t="s">
        <v>587</v>
      </c>
      <c r="B48" s="1843"/>
      <c r="C48" s="1831"/>
      <c r="D48" s="1833"/>
      <c r="E48" s="1850"/>
      <c r="F48" s="1835"/>
      <c r="G48" s="1831"/>
      <c r="H48" s="1831"/>
      <c r="I48" s="1836"/>
      <c r="J48" s="1841"/>
      <c r="K48" s="1831"/>
      <c r="L48" s="1831"/>
      <c r="M48" s="1836"/>
      <c r="N48" s="1841"/>
      <c r="O48" s="1831"/>
      <c r="P48" s="1831"/>
      <c r="Q48" s="1836"/>
      <c r="R48" s="1841"/>
      <c r="S48" s="1831"/>
      <c r="T48" s="1831"/>
      <c r="U48" s="1836"/>
      <c r="V48" s="1841"/>
      <c r="W48" s="1831"/>
      <c r="X48" s="1831"/>
      <c r="Y48" s="1836"/>
      <c r="Z48" s="1841"/>
      <c r="AA48" s="1831"/>
      <c r="AB48" s="1831"/>
      <c r="AC48" s="1836"/>
      <c r="AD48" s="1841"/>
      <c r="AE48" s="1831"/>
      <c r="AF48" s="1831"/>
      <c r="AG48" s="1836"/>
      <c r="AH48" s="1841">
        <v>-2</v>
      </c>
      <c r="AI48" s="1831">
        <v>-1</v>
      </c>
      <c r="AJ48" s="1831">
        <f t="shared" si="19"/>
        <v>-1</v>
      </c>
      <c r="AK48" s="1836"/>
      <c r="AL48" s="1841"/>
      <c r="AM48" s="1831"/>
      <c r="AN48" s="1831"/>
      <c r="AO48" s="1836"/>
      <c r="AP48" s="1841"/>
      <c r="AQ48" s="1831"/>
      <c r="AR48" s="1831"/>
      <c r="AS48" s="1836"/>
      <c r="AT48" s="1841"/>
      <c r="AU48" s="1831"/>
      <c r="AV48" s="1831"/>
      <c r="AW48" s="1836"/>
      <c r="AX48" s="1841"/>
      <c r="AY48" s="1831"/>
      <c r="AZ48" s="1831"/>
      <c r="BA48" s="1836"/>
      <c r="BB48" s="1841"/>
      <c r="BC48" s="1831"/>
      <c r="BD48" s="1831"/>
      <c r="BE48" s="1836"/>
      <c r="BF48" s="1841">
        <v>5.58</v>
      </c>
      <c r="BG48" s="1831">
        <v>3</v>
      </c>
      <c r="BH48" s="1831">
        <f t="shared" si="20"/>
        <v>3</v>
      </c>
      <c r="BI48" s="1836">
        <v>52</v>
      </c>
      <c r="BJ48" s="1841">
        <v>137</v>
      </c>
      <c r="BK48" s="1831">
        <v>69</v>
      </c>
      <c r="BL48" s="1831">
        <f t="shared" si="21"/>
        <v>69</v>
      </c>
      <c r="BM48" s="1836">
        <v>274</v>
      </c>
      <c r="BN48" s="1841">
        <v>37</v>
      </c>
      <c r="BO48" s="1831">
        <v>6</v>
      </c>
      <c r="BP48" s="1831">
        <v>6</v>
      </c>
      <c r="BQ48" s="1836">
        <v>68</v>
      </c>
      <c r="BR48" s="1841"/>
      <c r="BS48" s="1831"/>
      <c r="BT48" s="1831"/>
      <c r="BU48" s="1836"/>
      <c r="BV48" s="1841"/>
      <c r="BW48" s="1831"/>
      <c r="BX48" s="1831"/>
      <c r="BY48" s="1836"/>
      <c r="BZ48" s="1841"/>
      <c r="CA48" s="1831"/>
      <c r="CB48" s="1831"/>
      <c r="CC48" s="1836"/>
      <c r="CD48" s="1841"/>
      <c r="CE48" s="1831"/>
      <c r="CF48" s="1831"/>
      <c r="CG48" s="1836"/>
      <c r="CH48" s="1841"/>
      <c r="CI48" s="1831"/>
      <c r="CJ48" s="1831"/>
      <c r="CK48" s="1836"/>
      <c r="CL48" s="1841"/>
      <c r="CM48" s="1831"/>
      <c r="CN48" s="1831"/>
      <c r="CO48" s="1836"/>
      <c r="CP48" s="1841">
        <v>11.47</v>
      </c>
      <c r="CQ48" s="1831">
        <v>13</v>
      </c>
      <c r="CR48" s="1831">
        <v>12</v>
      </c>
      <c r="CS48" s="1836">
        <v>292</v>
      </c>
      <c r="CT48" s="1872">
        <f t="shared" si="8"/>
        <v>189.05</v>
      </c>
      <c r="CU48" s="1872">
        <f t="shared" si="9"/>
        <v>90</v>
      </c>
      <c r="CV48" s="1872">
        <f t="shared" si="10"/>
        <v>89</v>
      </c>
      <c r="CW48" s="1872">
        <f t="shared" si="11"/>
        <v>686</v>
      </c>
    </row>
    <row r="49" spans="1:101" ht="16.5">
      <c r="A49" s="1848" t="s">
        <v>588</v>
      </c>
      <c r="B49" s="1843"/>
      <c r="C49" s="1831"/>
      <c r="D49" s="1833"/>
      <c r="E49" s="1850"/>
      <c r="F49" s="1835"/>
      <c r="G49" s="1831"/>
      <c r="H49" s="1831"/>
      <c r="I49" s="1836"/>
      <c r="J49" s="1841"/>
      <c r="K49" s="1831"/>
      <c r="L49" s="1831"/>
      <c r="M49" s="1836"/>
      <c r="N49" s="1841"/>
      <c r="O49" s="1831"/>
      <c r="P49" s="1831"/>
      <c r="Q49" s="1836"/>
      <c r="R49" s="1841"/>
      <c r="S49" s="1831"/>
      <c r="T49" s="1831"/>
      <c r="U49" s="1836"/>
      <c r="V49" s="1841"/>
      <c r="W49" s="1831"/>
      <c r="X49" s="1831"/>
      <c r="Y49" s="1836"/>
      <c r="Z49" s="1841"/>
      <c r="AA49" s="1831"/>
      <c r="AB49" s="1831"/>
      <c r="AC49" s="1836"/>
      <c r="AD49" s="1841"/>
      <c r="AE49" s="1831"/>
      <c r="AF49" s="1831"/>
      <c r="AG49" s="1836"/>
      <c r="AH49" s="1841">
        <v>2.4</v>
      </c>
      <c r="AI49" s="1831">
        <v>1</v>
      </c>
      <c r="AJ49" s="1831">
        <f t="shared" si="19"/>
        <v>1</v>
      </c>
      <c r="AK49" s="1836"/>
      <c r="AL49" s="1841"/>
      <c r="AM49" s="1831"/>
      <c r="AN49" s="1831"/>
      <c r="AO49" s="1836"/>
      <c r="AP49" s="1841"/>
      <c r="AQ49" s="1831"/>
      <c r="AR49" s="1831"/>
      <c r="AS49" s="1836"/>
      <c r="AT49" s="1841"/>
      <c r="AU49" s="1831"/>
      <c r="AV49" s="1831"/>
      <c r="AW49" s="1836"/>
      <c r="AX49" s="1841"/>
      <c r="AY49" s="1831"/>
      <c r="AZ49" s="1831"/>
      <c r="BA49" s="1836"/>
      <c r="BB49" s="1841"/>
      <c r="BC49" s="1831"/>
      <c r="BD49" s="1831"/>
      <c r="BE49" s="1836"/>
      <c r="BF49" s="1841">
        <v>4.21</v>
      </c>
      <c r="BG49" s="1831">
        <v>2</v>
      </c>
      <c r="BH49" s="1831">
        <f t="shared" si="20"/>
        <v>2</v>
      </c>
      <c r="BI49" s="1836">
        <v>37.7</v>
      </c>
      <c r="BJ49" s="1841">
        <v>45</v>
      </c>
      <c r="BK49" s="1831">
        <v>21</v>
      </c>
      <c r="BL49" s="1831">
        <f t="shared" si="21"/>
        <v>21</v>
      </c>
      <c r="BM49" s="1836">
        <v>102</v>
      </c>
      <c r="BN49" s="1841">
        <v>10</v>
      </c>
      <c r="BO49" s="1831">
        <v>9</v>
      </c>
      <c r="BP49" s="1831">
        <v>8</v>
      </c>
      <c r="BQ49" s="1836">
        <v>101</v>
      </c>
      <c r="BR49" s="1841"/>
      <c r="BS49" s="1831"/>
      <c r="BT49" s="1831"/>
      <c r="BU49" s="1836"/>
      <c r="BV49" s="1841"/>
      <c r="BW49" s="1831"/>
      <c r="BX49" s="1831"/>
      <c r="BY49" s="1836"/>
      <c r="BZ49" s="1841"/>
      <c r="CA49" s="1831"/>
      <c r="CB49" s="1831"/>
      <c r="CC49" s="1836"/>
      <c r="CD49" s="1841"/>
      <c r="CE49" s="1831"/>
      <c r="CF49" s="1831"/>
      <c r="CG49" s="1836"/>
      <c r="CH49" s="1841"/>
      <c r="CI49" s="1831"/>
      <c r="CJ49" s="1831"/>
      <c r="CK49" s="1836"/>
      <c r="CL49" s="1841"/>
      <c r="CM49" s="1831"/>
      <c r="CN49" s="1831"/>
      <c r="CO49" s="1836"/>
      <c r="CP49" s="1841">
        <v>5.49</v>
      </c>
      <c r="CQ49" s="1831">
        <v>2</v>
      </c>
      <c r="CR49" s="1831">
        <v>2</v>
      </c>
      <c r="CS49" s="1836">
        <v>42.25</v>
      </c>
      <c r="CT49" s="1872">
        <f t="shared" si="8"/>
        <v>67.1</v>
      </c>
      <c r="CU49" s="1872">
        <f t="shared" si="9"/>
        <v>35</v>
      </c>
      <c r="CV49" s="1872">
        <f t="shared" si="10"/>
        <v>34</v>
      </c>
      <c r="CW49" s="1872">
        <f t="shared" si="11"/>
        <v>282.95</v>
      </c>
    </row>
    <row r="50" spans="1:101" ht="16.5">
      <c r="A50" s="1848" t="s">
        <v>589</v>
      </c>
      <c r="B50" s="1843"/>
      <c r="C50" s="1831"/>
      <c r="D50" s="1833"/>
      <c r="E50" s="1850"/>
      <c r="F50" s="1835"/>
      <c r="G50" s="1831"/>
      <c r="H50" s="1831"/>
      <c r="I50" s="1836"/>
      <c r="J50" s="1841"/>
      <c r="K50" s="1831"/>
      <c r="L50" s="1831"/>
      <c r="M50" s="1836"/>
      <c r="N50" s="1841"/>
      <c r="O50" s="1831"/>
      <c r="P50" s="1831"/>
      <c r="Q50" s="1836"/>
      <c r="R50" s="1841"/>
      <c r="S50" s="1831"/>
      <c r="T50" s="1831"/>
      <c r="U50" s="1836"/>
      <c r="V50" s="1841"/>
      <c r="W50" s="1831"/>
      <c r="X50" s="1831"/>
      <c r="Y50" s="1836"/>
      <c r="Z50" s="1841"/>
      <c r="AA50" s="1831"/>
      <c r="AB50" s="1831"/>
      <c r="AC50" s="1836"/>
      <c r="AD50" s="1841"/>
      <c r="AE50" s="1831"/>
      <c r="AF50" s="1831"/>
      <c r="AG50" s="1836"/>
      <c r="AH50" s="1841">
        <v>-6</v>
      </c>
      <c r="AI50" s="1831">
        <v>-2</v>
      </c>
      <c r="AJ50" s="1831">
        <f t="shared" si="19"/>
        <v>-2</v>
      </c>
      <c r="AK50" s="1836"/>
      <c r="AL50" s="1841"/>
      <c r="AM50" s="1831"/>
      <c r="AN50" s="1831"/>
      <c r="AO50" s="1836"/>
      <c r="AP50" s="1841"/>
      <c r="AQ50" s="1831"/>
      <c r="AR50" s="1831"/>
      <c r="AS50" s="1836"/>
      <c r="AT50" s="1841"/>
      <c r="AU50" s="1831"/>
      <c r="AV50" s="1831"/>
      <c r="AW50" s="1836"/>
      <c r="AX50" s="1841"/>
      <c r="AY50" s="1831"/>
      <c r="AZ50" s="1831"/>
      <c r="BA50" s="1836"/>
      <c r="BB50" s="1841"/>
      <c r="BC50" s="1831"/>
      <c r="BD50" s="1831"/>
      <c r="BE50" s="1836"/>
      <c r="BF50" s="1841">
        <v>2.6</v>
      </c>
      <c r="BG50" s="1831">
        <v>1</v>
      </c>
      <c r="BH50" s="1831">
        <f t="shared" si="20"/>
        <v>1</v>
      </c>
      <c r="BI50" s="1836">
        <v>22.45</v>
      </c>
      <c r="BJ50" s="1841">
        <v>62</v>
      </c>
      <c r="BK50" s="1831">
        <v>21</v>
      </c>
      <c r="BL50" s="1831">
        <f t="shared" si="21"/>
        <v>21</v>
      </c>
      <c r="BM50" s="1836">
        <v>125</v>
      </c>
      <c r="BN50" s="1841">
        <v>5</v>
      </c>
      <c r="BO50" s="1831">
        <v>1</v>
      </c>
      <c r="BP50" s="1831">
        <v>1</v>
      </c>
      <c r="BQ50" s="1836">
        <v>19</v>
      </c>
      <c r="BR50" s="1841"/>
      <c r="BS50" s="1831"/>
      <c r="BT50" s="1831"/>
      <c r="BU50" s="1836"/>
      <c r="BV50" s="1841"/>
      <c r="BW50" s="1831"/>
      <c r="BX50" s="1831"/>
      <c r="BY50" s="1836"/>
      <c r="BZ50" s="1841"/>
      <c r="CA50" s="1831"/>
      <c r="CB50" s="1831"/>
      <c r="CC50" s="1836"/>
      <c r="CD50" s="1841">
        <v>18</v>
      </c>
      <c r="CE50" s="1831">
        <v>6</v>
      </c>
      <c r="CF50" s="1831">
        <v>6</v>
      </c>
      <c r="CG50" s="1836"/>
      <c r="CH50" s="1841"/>
      <c r="CI50" s="1831"/>
      <c r="CJ50" s="1831"/>
      <c r="CK50" s="1836"/>
      <c r="CL50" s="1841"/>
      <c r="CM50" s="1831"/>
      <c r="CN50" s="1831"/>
      <c r="CO50" s="1836"/>
      <c r="CP50" s="1841">
        <v>3.41</v>
      </c>
      <c r="CQ50" s="1831">
        <v>2</v>
      </c>
      <c r="CR50" s="1831">
        <v>2</v>
      </c>
      <c r="CS50" s="1836">
        <v>140</v>
      </c>
      <c r="CT50" s="1872">
        <f t="shared" si="8"/>
        <v>85.00999999999999</v>
      </c>
      <c r="CU50" s="1872">
        <f t="shared" si="9"/>
        <v>29</v>
      </c>
      <c r="CV50" s="1872">
        <f t="shared" si="10"/>
        <v>29</v>
      </c>
      <c r="CW50" s="1872">
        <f t="shared" si="11"/>
        <v>306.45</v>
      </c>
    </row>
    <row r="51" spans="1:101" ht="16.5">
      <c r="A51" s="1848" t="s">
        <v>590</v>
      </c>
      <c r="B51" s="1843"/>
      <c r="C51" s="1831"/>
      <c r="D51" s="1833"/>
      <c r="E51" s="1850"/>
      <c r="F51" s="1835"/>
      <c r="G51" s="1831"/>
      <c r="H51" s="1831"/>
      <c r="I51" s="1836"/>
      <c r="J51" s="1841"/>
      <c r="K51" s="1831"/>
      <c r="L51" s="1831"/>
      <c r="M51" s="1836"/>
      <c r="N51" s="1841"/>
      <c r="O51" s="1831"/>
      <c r="P51" s="1831"/>
      <c r="Q51" s="1836"/>
      <c r="R51" s="1841"/>
      <c r="S51" s="1831"/>
      <c r="T51" s="1831"/>
      <c r="U51" s="1836"/>
      <c r="V51" s="1841"/>
      <c r="W51" s="1831"/>
      <c r="X51" s="1831"/>
      <c r="Y51" s="1836"/>
      <c r="Z51" s="1841"/>
      <c r="AA51" s="1831"/>
      <c r="AB51" s="1831"/>
      <c r="AC51" s="1836"/>
      <c r="AD51" s="1841"/>
      <c r="AE51" s="1831"/>
      <c r="AF51" s="1831"/>
      <c r="AG51" s="1836"/>
      <c r="AH51" s="1841">
        <v>5.52</v>
      </c>
      <c r="AI51" s="1831"/>
      <c r="AJ51" s="1831"/>
      <c r="AK51" s="1836"/>
      <c r="AL51" s="1841"/>
      <c r="AM51" s="1831"/>
      <c r="AN51" s="1831"/>
      <c r="AO51" s="1836"/>
      <c r="AP51" s="1841"/>
      <c r="AQ51" s="1831"/>
      <c r="AR51" s="1831"/>
      <c r="AS51" s="1836"/>
      <c r="AT51" s="1841"/>
      <c r="AU51" s="1831"/>
      <c r="AV51" s="1831"/>
      <c r="AW51" s="1836"/>
      <c r="AX51" s="1841"/>
      <c r="AY51" s="1831"/>
      <c r="AZ51" s="1831"/>
      <c r="BA51" s="1836"/>
      <c r="BB51" s="1841"/>
      <c r="BC51" s="1831"/>
      <c r="BD51" s="1831"/>
      <c r="BE51" s="1836"/>
      <c r="BF51" s="1841">
        <v>12.56</v>
      </c>
      <c r="BG51" s="1831">
        <v>2</v>
      </c>
      <c r="BH51" s="1831">
        <f t="shared" si="20"/>
        <v>2</v>
      </c>
      <c r="BI51" s="1836">
        <v>177.13</v>
      </c>
      <c r="BJ51" s="1841">
        <v>371</v>
      </c>
      <c r="BK51" s="1831">
        <v>56</v>
      </c>
      <c r="BL51" s="1831">
        <f t="shared" si="21"/>
        <v>56</v>
      </c>
      <c r="BM51" s="1836">
        <v>775</v>
      </c>
      <c r="BN51" s="1841">
        <v>123</v>
      </c>
      <c r="BO51" s="1831">
        <v>24</v>
      </c>
      <c r="BP51" s="1831">
        <v>14</v>
      </c>
      <c r="BQ51" s="1836">
        <v>542</v>
      </c>
      <c r="BR51" s="1841"/>
      <c r="BS51" s="1831"/>
      <c r="BT51" s="1831"/>
      <c r="BU51" s="1836"/>
      <c r="BV51" s="1841"/>
      <c r="BW51" s="1831"/>
      <c r="BX51" s="1831"/>
      <c r="BY51" s="1836"/>
      <c r="BZ51" s="1841"/>
      <c r="CA51" s="1831"/>
      <c r="CB51" s="1831"/>
      <c r="CC51" s="1836"/>
      <c r="CD51" s="1841">
        <v>48.58</v>
      </c>
      <c r="CE51" s="1831">
        <v>10</v>
      </c>
      <c r="CF51" s="1831">
        <v>7</v>
      </c>
      <c r="CG51" s="1836"/>
      <c r="CH51" s="1841"/>
      <c r="CI51" s="1831"/>
      <c r="CJ51" s="1831"/>
      <c r="CK51" s="1836"/>
      <c r="CL51" s="1841"/>
      <c r="CM51" s="1831"/>
      <c r="CN51" s="1831"/>
      <c r="CO51" s="1836"/>
      <c r="CP51" s="1841">
        <v>22.54</v>
      </c>
      <c r="CQ51" s="1831">
        <v>5</v>
      </c>
      <c r="CR51" s="1831">
        <v>5</v>
      </c>
      <c r="CS51" s="1836">
        <v>254.5</v>
      </c>
      <c r="CT51" s="1872">
        <f t="shared" si="8"/>
        <v>583.1999999999999</v>
      </c>
      <c r="CU51" s="1872">
        <f t="shared" si="9"/>
        <v>97</v>
      </c>
      <c r="CV51" s="1872">
        <f t="shared" si="10"/>
        <v>84</v>
      </c>
      <c r="CW51" s="1872">
        <f t="shared" si="11"/>
        <v>1748.63</v>
      </c>
    </row>
    <row r="52" spans="1:101" ht="16.5">
      <c r="A52" s="1847" t="s">
        <v>598</v>
      </c>
      <c r="B52" s="1841"/>
      <c r="C52" s="1831"/>
      <c r="D52" s="1831"/>
      <c r="E52" s="1850"/>
      <c r="F52" s="1835"/>
      <c r="G52" s="1831"/>
      <c r="H52" s="1831"/>
      <c r="I52" s="1836"/>
      <c r="J52" s="1841"/>
      <c r="K52" s="1831"/>
      <c r="L52" s="1831"/>
      <c r="M52" s="1836"/>
      <c r="N52" s="1841"/>
      <c r="O52" s="1831"/>
      <c r="P52" s="1831"/>
      <c r="Q52" s="1836"/>
      <c r="R52" s="1841"/>
      <c r="S52" s="1831"/>
      <c r="T52" s="1831"/>
      <c r="U52" s="1836"/>
      <c r="V52" s="1841"/>
      <c r="W52" s="1831"/>
      <c r="X52" s="1831"/>
      <c r="Y52" s="1836"/>
      <c r="Z52" s="1841"/>
      <c r="AA52" s="1831"/>
      <c r="AB52" s="1831"/>
      <c r="AC52" s="1836"/>
      <c r="AD52" s="1841"/>
      <c r="AE52" s="1831"/>
      <c r="AF52" s="1831"/>
      <c r="AG52" s="1836"/>
      <c r="AH52" s="1841"/>
      <c r="AI52" s="1831"/>
      <c r="AJ52" s="1831"/>
      <c r="AK52" s="1836"/>
      <c r="AL52" s="1841"/>
      <c r="AM52" s="1831"/>
      <c r="AN52" s="1831"/>
      <c r="AO52" s="1836"/>
      <c r="AP52" s="1841"/>
      <c r="AQ52" s="1831"/>
      <c r="AR52" s="1831"/>
      <c r="AS52" s="1836"/>
      <c r="AT52" s="1841"/>
      <c r="AU52" s="1831"/>
      <c r="AV52" s="1831"/>
      <c r="AW52" s="1836"/>
      <c r="AX52" s="1841"/>
      <c r="AY52" s="1831"/>
      <c r="AZ52" s="1831"/>
      <c r="BA52" s="1836"/>
      <c r="BB52" s="1841"/>
      <c r="BC52" s="1831"/>
      <c r="BD52" s="1831"/>
      <c r="BE52" s="1836"/>
      <c r="BF52" s="1841"/>
      <c r="BG52" s="1831"/>
      <c r="BH52" s="1831"/>
      <c r="BI52" s="1836"/>
      <c r="BJ52" s="1841"/>
      <c r="BK52" s="1831"/>
      <c r="BL52" s="1831"/>
      <c r="BM52" s="1836"/>
      <c r="BN52" s="1841"/>
      <c r="BO52" s="1831"/>
      <c r="BP52" s="1831"/>
      <c r="BQ52" s="1836"/>
      <c r="BR52" s="1841"/>
      <c r="BS52" s="1831"/>
      <c r="BT52" s="1831"/>
      <c r="BU52" s="1836"/>
      <c r="BV52" s="1841"/>
      <c r="BW52" s="1831"/>
      <c r="BX52" s="1831"/>
      <c r="BY52" s="1836"/>
      <c r="BZ52" s="1841"/>
      <c r="CA52" s="1831"/>
      <c r="CB52" s="1831"/>
      <c r="CC52" s="1836"/>
      <c r="CD52" s="1841"/>
      <c r="CE52" s="1831"/>
      <c r="CF52" s="1831"/>
      <c r="CG52" s="1836"/>
      <c r="CH52" s="1841"/>
      <c r="CI52" s="1831"/>
      <c r="CJ52" s="1831"/>
      <c r="CK52" s="1836"/>
      <c r="CL52" s="1841"/>
      <c r="CM52" s="1831"/>
      <c r="CN52" s="1831"/>
      <c r="CO52" s="1836"/>
      <c r="CP52" s="1841"/>
      <c r="CQ52" s="1831"/>
      <c r="CR52" s="1831"/>
      <c r="CS52" s="1836"/>
      <c r="CT52" s="1872">
        <f t="shared" si="8"/>
        <v>0</v>
      </c>
      <c r="CU52" s="1872">
        <f t="shared" si="9"/>
        <v>0</v>
      </c>
      <c r="CV52" s="1872">
        <f t="shared" si="10"/>
        <v>0</v>
      </c>
      <c r="CW52" s="1872">
        <f t="shared" si="11"/>
        <v>0</v>
      </c>
    </row>
    <row r="53" spans="1:101" ht="16.5">
      <c r="A53" s="1848" t="s">
        <v>577</v>
      </c>
      <c r="B53" s="1841">
        <v>-4</v>
      </c>
      <c r="C53" s="1832">
        <v>786</v>
      </c>
      <c r="D53" s="1833">
        <v>31760</v>
      </c>
      <c r="E53" s="1850">
        <v>370871</v>
      </c>
      <c r="F53" s="1835"/>
      <c r="G53" s="1831"/>
      <c r="H53" s="1831"/>
      <c r="I53" s="1836"/>
      <c r="J53" s="1841">
        <v>-9</v>
      </c>
      <c r="K53" s="1831"/>
      <c r="L53" s="1831">
        <v>8870</v>
      </c>
      <c r="M53" s="1836">
        <v>-129505</v>
      </c>
      <c r="N53" s="1841"/>
      <c r="O53" s="1831"/>
      <c r="P53" s="1831"/>
      <c r="Q53" s="1836"/>
      <c r="R53" s="1841"/>
      <c r="S53" s="1831"/>
      <c r="T53" s="1831"/>
      <c r="U53" s="1836"/>
      <c r="V53" s="1841">
        <v>99.7</v>
      </c>
      <c r="W53" s="1831"/>
      <c r="X53" s="1831">
        <v>2539</v>
      </c>
      <c r="Y53" s="1836">
        <v>44258.6</v>
      </c>
      <c r="Z53" s="1841"/>
      <c r="AA53" s="1831"/>
      <c r="AB53" s="1831"/>
      <c r="AC53" s="1836"/>
      <c r="AD53" s="1841"/>
      <c r="AE53" s="1831"/>
      <c r="AF53" s="1831">
        <v>2</v>
      </c>
      <c r="AG53" s="1836">
        <v>6</v>
      </c>
      <c r="AH53" s="1841"/>
      <c r="AI53" s="1831"/>
      <c r="AJ53" s="1831"/>
      <c r="AK53" s="1836"/>
      <c r="AL53" s="1841">
        <v>2</v>
      </c>
      <c r="AM53" s="1831"/>
      <c r="AN53" s="1831">
        <v>2699</v>
      </c>
      <c r="AO53" s="1836">
        <v>11167</v>
      </c>
      <c r="AP53" s="1841"/>
      <c r="AQ53" s="1831"/>
      <c r="AR53" s="1831"/>
      <c r="AS53" s="1836"/>
      <c r="AT53" s="1841"/>
      <c r="AU53" s="1831"/>
      <c r="AV53" s="1831"/>
      <c r="AW53" s="1836"/>
      <c r="AX53" s="1841"/>
      <c r="AY53" s="1831"/>
      <c r="AZ53" s="1831"/>
      <c r="BA53" s="1836"/>
      <c r="BB53" s="1841"/>
      <c r="BC53" s="1831"/>
      <c r="BD53" s="1831"/>
      <c r="BE53" s="1836"/>
      <c r="BF53" s="1841">
        <v>-49.28</v>
      </c>
      <c r="BG53" s="1831">
        <v>109</v>
      </c>
      <c r="BH53" s="1831">
        <v>98268</v>
      </c>
      <c r="BI53" s="1836">
        <v>-11176.5</v>
      </c>
      <c r="BJ53" s="1841"/>
      <c r="BK53" s="1831"/>
      <c r="BL53" s="1831"/>
      <c r="BM53" s="1836"/>
      <c r="BN53" s="1841"/>
      <c r="BO53" s="1831"/>
      <c r="BP53" s="1831"/>
      <c r="BQ53" s="1836"/>
      <c r="BR53" s="1841"/>
      <c r="BS53" s="1831">
        <v>4</v>
      </c>
      <c r="BT53" s="1831">
        <v>-4160</v>
      </c>
      <c r="BU53" s="1836">
        <v>7167</v>
      </c>
      <c r="BV53" s="1841"/>
      <c r="BW53" s="1831"/>
      <c r="BX53" s="1831"/>
      <c r="BY53" s="1836"/>
      <c r="BZ53" s="1841"/>
      <c r="CA53" s="1831"/>
      <c r="CB53" s="1831">
        <v>5825</v>
      </c>
      <c r="CC53" s="1836">
        <v>30800</v>
      </c>
      <c r="CD53" s="1841">
        <v>1.93</v>
      </c>
      <c r="CE53" s="1831"/>
      <c r="CF53" s="1831">
        <v>945</v>
      </c>
      <c r="CG53" s="1836">
        <v>3925.41</v>
      </c>
      <c r="CH53" s="1841">
        <v>0.63</v>
      </c>
      <c r="CI53" s="1831"/>
      <c r="CJ53" s="1831">
        <v>189</v>
      </c>
      <c r="CK53" s="1836">
        <v>637.31</v>
      </c>
      <c r="CL53" s="1841">
        <v>8</v>
      </c>
      <c r="CM53" s="1831">
        <v>1</v>
      </c>
      <c r="CN53" s="1831">
        <v>5315</v>
      </c>
      <c r="CO53" s="1836">
        <v>2712</v>
      </c>
      <c r="CP53" s="1841">
        <v>51.7</v>
      </c>
      <c r="CQ53" s="1831">
        <v>2027</v>
      </c>
      <c r="CR53" s="1831">
        <v>621970</v>
      </c>
      <c r="CS53" s="1836">
        <v>190853.29</v>
      </c>
      <c r="CT53" s="1872">
        <f t="shared" si="8"/>
        <v>101.68</v>
      </c>
      <c r="CU53" s="1872">
        <f t="shared" si="9"/>
        <v>2927</v>
      </c>
      <c r="CV53" s="1872">
        <f t="shared" si="10"/>
        <v>774222</v>
      </c>
      <c r="CW53" s="1872">
        <f t="shared" si="11"/>
        <v>521716.11</v>
      </c>
    </row>
    <row r="54" spans="1:101" ht="16.5">
      <c r="A54" s="1848" t="s">
        <v>578</v>
      </c>
      <c r="B54" s="1842">
        <v>32</v>
      </c>
      <c r="C54" s="1831">
        <v>136</v>
      </c>
      <c r="D54" s="1833">
        <v>12474</v>
      </c>
      <c r="E54" s="1850">
        <v>110236</v>
      </c>
      <c r="F54" s="1835"/>
      <c r="G54" s="1831"/>
      <c r="H54" s="1831"/>
      <c r="I54" s="1836"/>
      <c r="J54" s="1841">
        <v>4</v>
      </c>
      <c r="K54" s="1831"/>
      <c r="L54" s="1831">
        <v>442</v>
      </c>
      <c r="M54" s="1836">
        <v>4188</v>
      </c>
      <c r="N54" s="1841"/>
      <c r="O54" s="1831"/>
      <c r="P54" s="1831"/>
      <c r="Q54" s="1836"/>
      <c r="R54" s="1841"/>
      <c r="S54" s="1831"/>
      <c r="T54" s="1831"/>
      <c r="U54" s="1836"/>
      <c r="V54" s="1841">
        <v>48.9</v>
      </c>
      <c r="W54" s="1831"/>
      <c r="X54" s="1831">
        <v>360</v>
      </c>
      <c r="Y54" s="1836">
        <v>12083.6</v>
      </c>
      <c r="Z54" s="1841"/>
      <c r="AA54" s="1831"/>
      <c r="AB54" s="1831"/>
      <c r="AC54" s="1836"/>
      <c r="AD54" s="1841">
        <v>1</v>
      </c>
      <c r="AE54" s="1831">
        <v>3</v>
      </c>
      <c r="AF54" s="1831">
        <v>405</v>
      </c>
      <c r="AG54" s="1836">
        <v>1252</v>
      </c>
      <c r="AH54" s="1841"/>
      <c r="AI54" s="1831"/>
      <c r="AJ54" s="1831"/>
      <c r="AK54" s="1836"/>
      <c r="AL54" s="1841">
        <v>4</v>
      </c>
      <c r="AM54" s="1831">
        <v>2</v>
      </c>
      <c r="AN54" s="1831">
        <v>698</v>
      </c>
      <c r="AO54" s="1836">
        <v>15754</v>
      </c>
      <c r="AP54" s="1841"/>
      <c r="AQ54" s="1831"/>
      <c r="AR54" s="1831"/>
      <c r="AS54" s="1836"/>
      <c r="AT54" s="1841"/>
      <c r="AU54" s="1831"/>
      <c r="AV54" s="1831"/>
      <c r="AW54" s="1836"/>
      <c r="AX54" s="1841"/>
      <c r="AY54" s="1831"/>
      <c r="AZ54" s="1831"/>
      <c r="BA54" s="1836"/>
      <c r="BB54" s="1841"/>
      <c r="BC54" s="1831"/>
      <c r="BD54" s="1831"/>
      <c r="BE54" s="1836"/>
      <c r="BF54" s="1841">
        <v>7.48</v>
      </c>
      <c r="BG54" s="1831">
        <v>4</v>
      </c>
      <c r="BH54" s="1831">
        <v>29778</v>
      </c>
      <c r="BI54" s="1836">
        <v>12816.05</v>
      </c>
      <c r="BJ54" s="1841"/>
      <c r="BK54" s="1831"/>
      <c r="BL54" s="1831"/>
      <c r="BM54" s="1836"/>
      <c r="BN54" s="1841"/>
      <c r="BO54" s="1831"/>
      <c r="BP54" s="1831"/>
      <c r="BQ54" s="1836"/>
      <c r="BR54" s="1841">
        <v>1</v>
      </c>
      <c r="BS54" s="1831"/>
      <c r="BT54" s="1831"/>
      <c r="BU54" s="1836"/>
      <c r="BV54" s="1841"/>
      <c r="BW54" s="1831"/>
      <c r="BX54" s="1831"/>
      <c r="BY54" s="1836"/>
      <c r="BZ54" s="1841"/>
      <c r="CA54" s="1831">
        <v>21</v>
      </c>
      <c r="CB54" s="1831">
        <v>8216</v>
      </c>
      <c r="CC54" s="1836">
        <v>51000</v>
      </c>
      <c r="CD54" s="1841">
        <v>4.38</v>
      </c>
      <c r="CE54" s="1831"/>
      <c r="CF54" s="1831">
        <v>790</v>
      </c>
      <c r="CG54" s="1836">
        <v>4787.66</v>
      </c>
      <c r="CH54" s="1841">
        <v>1.9</v>
      </c>
      <c r="CI54" s="1831">
        <v>1</v>
      </c>
      <c r="CJ54" s="1831">
        <v>585</v>
      </c>
      <c r="CK54" s="1836">
        <v>4667.21</v>
      </c>
      <c r="CL54" s="1841">
        <v>1</v>
      </c>
      <c r="CM54" s="1831">
        <v>2</v>
      </c>
      <c r="CN54" s="1831">
        <v>248</v>
      </c>
      <c r="CO54" s="1836">
        <v>748</v>
      </c>
      <c r="CP54" s="1841">
        <v>145.32</v>
      </c>
      <c r="CQ54" s="1831">
        <v>866</v>
      </c>
      <c r="CR54" s="1831">
        <v>155436</v>
      </c>
      <c r="CS54" s="1836">
        <v>42864.41</v>
      </c>
      <c r="CT54" s="1872">
        <f t="shared" si="8"/>
        <v>250.98000000000002</v>
      </c>
      <c r="CU54" s="1872">
        <f t="shared" si="9"/>
        <v>1035</v>
      </c>
      <c r="CV54" s="1872">
        <f t="shared" si="10"/>
        <v>209432</v>
      </c>
      <c r="CW54" s="1872">
        <f t="shared" si="11"/>
        <v>260396.93</v>
      </c>
    </row>
    <row r="55" spans="1:101" ht="16.5">
      <c r="A55" s="1848" t="s">
        <v>579</v>
      </c>
      <c r="B55" s="1842">
        <v>52</v>
      </c>
      <c r="C55" s="1831">
        <v>119</v>
      </c>
      <c r="D55" s="1833">
        <v>13718</v>
      </c>
      <c r="E55" s="1850">
        <v>131511</v>
      </c>
      <c r="F55" s="1835"/>
      <c r="G55" s="1831"/>
      <c r="H55" s="1831"/>
      <c r="I55" s="1836"/>
      <c r="J55" s="1841">
        <v>4</v>
      </c>
      <c r="K55" s="1831"/>
      <c r="L55" s="1831">
        <v>431</v>
      </c>
      <c r="M55" s="1836">
        <v>2339</v>
      </c>
      <c r="N55" s="1841"/>
      <c r="O55" s="1831"/>
      <c r="P55" s="1831"/>
      <c r="Q55" s="1836"/>
      <c r="R55" s="1841"/>
      <c r="S55" s="1831"/>
      <c r="T55" s="1831"/>
      <c r="U55" s="1836"/>
      <c r="V55" s="1841">
        <v>8.9</v>
      </c>
      <c r="W55" s="1831"/>
      <c r="X55" s="1831">
        <v>31</v>
      </c>
      <c r="Y55" s="1836">
        <v>2033.1</v>
      </c>
      <c r="Z55" s="1841"/>
      <c r="AA55" s="1831"/>
      <c r="AB55" s="1831"/>
      <c r="AC55" s="1836"/>
      <c r="AD55" s="1841">
        <v>1</v>
      </c>
      <c r="AE55" s="1831">
        <v>1</v>
      </c>
      <c r="AF55" s="1831">
        <v>223</v>
      </c>
      <c r="AG55" s="1836">
        <v>2515</v>
      </c>
      <c r="AH55" s="1841"/>
      <c r="AI55" s="1831"/>
      <c r="AJ55" s="1831"/>
      <c r="AK55" s="1836"/>
      <c r="AL55" s="1841">
        <v>10</v>
      </c>
      <c r="AM55" s="1831">
        <v>2</v>
      </c>
      <c r="AN55" s="1831">
        <v>1782</v>
      </c>
      <c r="AO55" s="1836">
        <v>40146</v>
      </c>
      <c r="AP55" s="1841"/>
      <c r="AQ55" s="1831"/>
      <c r="AR55" s="1831"/>
      <c r="AS55" s="1836"/>
      <c r="AT55" s="1841"/>
      <c r="AU55" s="1831"/>
      <c r="AV55" s="1831"/>
      <c r="AW55" s="1836"/>
      <c r="AX55" s="1841"/>
      <c r="AY55" s="1831"/>
      <c r="AZ55" s="1831"/>
      <c r="BA55" s="1836"/>
      <c r="BB55" s="1841"/>
      <c r="BC55" s="1831"/>
      <c r="BD55" s="1831"/>
      <c r="BE55" s="1836"/>
      <c r="BF55" s="1841">
        <v>12.28</v>
      </c>
      <c r="BG55" s="1831">
        <v>2</v>
      </c>
      <c r="BH55" s="1831">
        <v>3967</v>
      </c>
      <c r="BI55" s="1836">
        <v>8332.94</v>
      </c>
      <c r="BJ55" s="1841"/>
      <c r="BK55" s="1831"/>
      <c r="BL55" s="1831"/>
      <c r="BM55" s="1836"/>
      <c r="BN55" s="1841"/>
      <c r="BO55" s="1831"/>
      <c r="BP55" s="1831"/>
      <c r="BQ55" s="1836"/>
      <c r="BR55" s="1841">
        <v>4</v>
      </c>
      <c r="BS55" s="1831"/>
      <c r="BT55" s="1831">
        <v>-341</v>
      </c>
      <c r="BU55" s="1836">
        <v>-188</v>
      </c>
      <c r="BV55" s="1841"/>
      <c r="BW55" s="1831"/>
      <c r="BX55" s="1831"/>
      <c r="BY55" s="1836"/>
      <c r="BZ55" s="1841">
        <v>100</v>
      </c>
      <c r="CA55" s="1831">
        <v>13</v>
      </c>
      <c r="CB55" s="1831">
        <v>11540</v>
      </c>
      <c r="CC55" s="1836">
        <v>68600</v>
      </c>
      <c r="CD55" s="1841">
        <v>25.34</v>
      </c>
      <c r="CE55" s="1831"/>
      <c r="CF55" s="1831">
        <v>22941</v>
      </c>
      <c r="CG55" s="1836">
        <v>22577.43</v>
      </c>
      <c r="CH55" s="1841">
        <v>1.41</v>
      </c>
      <c r="CI55" s="1831"/>
      <c r="CJ55" s="1831">
        <v>1306</v>
      </c>
      <c r="CK55" s="1836">
        <v>3466.99</v>
      </c>
      <c r="CL55" s="1841">
        <v>2</v>
      </c>
      <c r="CM55" s="1831">
        <v>4</v>
      </c>
      <c r="CN55" s="1831">
        <v>150</v>
      </c>
      <c r="CO55" s="1836">
        <v>1349</v>
      </c>
      <c r="CP55" s="1841">
        <v>229.13</v>
      </c>
      <c r="CQ55" s="1831">
        <v>629</v>
      </c>
      <c r="CR55" s="1831">
        <v>293652</v>
      </c>
      <c r="CS55" s="1836">
        <v>64183.95</v>
      </c>
      <c r="CT55" s="1872">
        <f t="shared" si="8"/>
        <v>450.06</v>
      </c>
      <c r="CU55" s="1872">
        <f t="shared" si="9"/>
        <v>770</v>
      </c>
      <c r="CV55" s="1872">
        <f t="shared" si="10"/>
        <v>349400</v>
      </c>
      <c r="CW55" s="1872">
        <f t="shared" si="11"/>
        <v>346866.41000000003</v>
      </c>
    </row>
    <row r="56" spans="1:101" ht="16.5">
      <c r="A56" s="1848" t="s">
        <v>580</v>
      </c>
      <c r="B56" s="1842">
        <v>27</v>
      </c>
      <c r="C56" s="1831">
        <v>51</v>
      </c>
      <c r="D56" s="1833">
        <v>3126</v>
      </c>
      <c r="E56" s="1850">
        <v>72826</v>
      </c>
      <c r="F56" s="1835"/>
      <c r="G56" s="1831"/>
      <c r="H56" s="1831"/>
      <c r="I56" s="1865"/>
      <c r="J56" s="1841">
        <v>4</v>
      </c>
      <c r="K56" s="1831"/>
      <c r="L56" s="1831">
        <v>207</v>
      </c>
      <c r="M56" s="1836">
        <v>4785</v>
      </c>
      <c r="N56" s="1841"/>
      <c r="O56" s="1831"/>
      <c r="P56" s="1831"/>
      <c r="Q56" s="1836"/>
      <c r="R56" s="1841"/>
      <c r="S56" s="1831"/>
      <c r="T56" s="1831"/>
      <c r="U56" s="1836"/>
      <c r="V56" s="1841">
        <v>2.1</v>
      </c>
      <c r="W56" s="1831"/>
      <c r="X56" s="1831">
        <v>4</v>
      </c>
      <c r="Y56" s="1836">
        <v>293.8</v>
      </c>
      <c r="Z56" s="1841"/>
      <c r="AA56" s="1831"/>
      <c r="AB56" s="1831"/>
      <c r="AC56" s="1836"/>
      <c r="AD56" s="1841">
        <v>2</v>
      </c>
      <c r="AE56" s="1831">
        <v>1</v>
      </c>
      <c r="AF56" s="1831">
        <v>221</v>
      </c>
      <c r="AG56" s="1836">
        <v>1545</v>
      </c>
      <c r="AH56" s="1841"/>
      <c r="AI56" s="1831"/>
      <c r="AJ56" s="1831"/>
      <c r="AK56" s="1836"/>
      <c r="AL56" s="1841">
        <v>10</v>
      </c>
      <c r="AM56" s="1831"/>
      <c r="AN56" s="1831">
        <v>1502</v>
      </c>
      <c r="AO56" s="1836">
        <v>31679</v>
      </c>
      <c r="AP56" s="1841"/>
      <c r="AQ56" s="1831"/>
      <c r="AR56" s="1831"/>
      <c r="AS56" s="1836"/>
      <c r="AT56" s="1841"/>
      <c r="AU56" s="1831"/>
      <c r="AV56" s="1831"/>
      <c r="AW56" s="1836"/>
      <c r="AX56" s="1841"/>
      <c r="AY56" s="1831"/>
      <c r="AZ56" s="1831"/>
      <c r="BA56" s="1836"/>
      <c r="BB56" s="1841"/>
      <c r="BC56" s="1831"/>
      <c r="BD56" s="1831"/>
      <c r="BE56" s="1836"/>
      <c r="BF56" s="1841">
        <v>10.01</v>
      </c>
      <c r="BG56" s="1831">
        <v>3</v>
      </c>
      <c r="BH56" s="1831">
        <v>4695</v>
      </c>
      <c r="BI56" s="1836">
        <v>3171.17</v>
      </c>
      <c r="BJ56" s="1841"/>
      <c r="BK56" s="1831"/>
      <c r="BL56" s="1831"/>
      <c r="BM56" s="1836"/>
      <c r="BN56" s="1841"/>
      <c r="BO56" s="1831"/>
      <c r="BP56" s="1831"/>
      <c r="BQ56" s="1836"/>
      <c r="BR56" s="1841">
        <v>3</v>
      </c>
      <c r="BS56" s="1831"/>
      <c r="BT56" s="1831">
        <v>-1</v>
      </c>
      <c r="BU56" s="1836"/>
      <c r="BV56" s="1841"/>
      <c r="BW56" s="1831"/>
      <c r="BX56" s="1831"/>
      <c r="BY56" s="1836"/>
      <c r="BZ56" s="1841"/>
      <c r="CA56" s="1831">
        <v>7</v>
      </c>
      <c r="CB56" s="1831">
        <v>7519</v>
      </c>
      <c r="CC56" s="1836">
        <v>61000</v>
      </c>
      <c r="CD56" s="1841">
        <v>22.62</v>
      </c>
      <c r="CE56" s="1831"/>
      <c r="CF56" s="1831">
        <v>29527</v>
      </c>
      <c r="CG56" s="1836">
        <v>22818.57</v>
      </c>
      <c r="CH56" s="1841">
        <v>0.57</v>
      </c>
      <c r="CI56" s="1831">
        <v>1</v>
      </c>
      <c r="CJ56" s="1831">
        <v>1335</v>
      </c>
      <c r="CK56" s="1836">
        <v>1684.42</v>
      </c>
      <c r="CL56" s="1841">
        <v>3</v>
      </c>
      <c r="CM56" s="1831">
        <v>4</v>
      </c>
      <c r="CN56" s="1831">
        <v>957</v>
      </c>
      <c r="CO56" s="1836">
        <v>1449</v>
      </c>
      <c r="CP56" s="1841">
        <v>117.32</v>
      </c>
      <c r="CQ56" s="1831">
        <v>189</v>
      </c>
      <c r="CR56" s="1831">
        <v>171217</v>
      </c>
      <c r="CS56" s="1836">
        <v>27827.41</v>
      </c>
      <c r="CT56" s="1872">
        <f t="shared" si="8"/>
        <v>201.62</v>
      </c>
      <c r="CU56" s="1872">
        <f t="shared" si="9"/>
        <v>256</v>
      </c>
      <c r="CV56" s="1872">
        <f t="shared" si="10"/>
        <v>220309</v>
      </c>
      <c r="CW56" s="1872">
        <f t="shared" si="11"/>
        <v>229079.37000000002</v>
      </c>
    </row>
    <row r="57" spans="1:101" ht="16.5">
      <c r="A57" s="1848" t="s">
        <v>581</v>
      </c>
      <c r="B57" s="1842">
        <v>29</v>
      </c>
      <c r="C57" s="1831">
        <v>44</v>
      </c>
      <c r="D57" s="1833">
        <v>5293</v>
      </c>
      <c r="E57" s="1850">
        <v>63118</v>
      </c>
      <c r="F57" s="1835"/>
      <c r="G57" s="1831"/>
      <c r="H57" s="1831"/>
      <c r="I57" s="1836"/>
      <c r="J57" s="1841">
        <v>2</v>
      </c>
      <c r="K57" s="1831"/>
      <c r="L57" s="1831">
        <v>19</v>
      </c>
      <c r="M57" s="1836">
        <v>1604</v>
      </c>
      <c r="N57" s="1841"/>
      <c r="O57" s="1831"/>
      <c r="P57" s="1831"/>
      <c r="Q57" s="1836"/>
      <c r="R57" s="1841"/>
      <c r="S57" s="1831"/>
      <c r="T57" s="1831"/>
      <c r="U57" s="1836"/>
      <c r="V57" s="1841"/>
      <c r="W57" s="1831"/>
      <c r="X57" s="1831"/>
      <c r="Y57" s="1836"/>
      <c r="Z57" s="1841"/>
      <c r="AA57" s="1831"/>
      <c r="AB57" s="1831"/>
      <c r="AC57" s="1836"/>
      <c r="AD57" s="1841">
        <v>1</v>
      </c>
      <c r="AE57" s="1831"/>
      <c r="AF57" s="1831">
        <v>2043</v>
      </c>
      <c r="AG57" s="1836">
        <v>517</v>
      </c>
      <c r="AH57" s="1841"/>
      <c r="AI57" s="1831"/>
      <c r="AJ57" s="1831"/>
      <c r="AK57" s="1836"/>
      <c r="AL57" s="1841">
        <v>5</v>
      </c>
      <c r="AM57" s="1831">
        <v>1</v>
      </c>
      <c r="AN57" s="1831">
        <v>409</v>
      </c>
      <c r="AO57" s="1836">
        <v>6387</v>
      </c>
      <c r="AP57" s="1841"/>
      <c r="AQ57" s="1831"/>
      <c r="AR57" s="1831"/>
      <c r="AS57" s="1836"/>
      <c r="AT57" s="1841"/>
      <c r="AU57" s="1831"/>
      <c r="AV57" s="1831"/>
      <c r="AW57" s="1836"/>
      <c r="AX57" s="1841"/>
      <c r="AY57" s="1831"/>
      <c r="AZ57" s="1831"/>
      <c r="BA57" s="1836"/>
      <c r="BB57" s="1841"/>
      <c r="BC57" s="1831"/>
      <c r="BD57" s="1831"/>
      <c r="BE57" s="1836"/>
      <c r="BF57" s="1841">
        <v>6.67</v>
      </c>
      <c r="BG57" s="1831">
        <v>4</v>
      </c>
      <c r="BH57" s="1831">
        <v>3701</v>
      </c>
      <c r="BI57" s="1836">
        <v>1951.85</v>
      </c>
      <c r="BJ57" s="1841"/>
      <c r="BK57" s="1831"/>
      <c r="BL57" s="1831"/>
      <c r="BM57" s="1836"/>
      <c r="BN57" s="1841"/>
      <c r="BO57" s="1831"/>
      <c r="BP57" s="1831"/>
      <c r="BQ57" s="1836"/>
      <c r="BR57" s="1841">
        <v>3</v>
      </c>
      <c r="BS57" s="1831"/>
      <c r="BT57" s="1831">
        <v>159</v>
      </c>
      <c r="BU57" s="1836">
        <v>2</v>
      </c>
      <c r="BV57" s="1841"/>
      <c r="BW57" s="1831"/>
      <c r="BX57" s="1831"/>
      <c r="BY57" s="1836"/>
      <c r="BZ57" s="1841"/>
      <c r="CA57" s="1831">
        <v>7</v>
      </c>
      <c r="CB57" s="1831">
        <v>6274</v>
      </c>
      <c r="CC57" s="1836">
        <v>37000</v>
      </c>
      <c r="CD57" s="1841">
        <v>6.74</v>
      </c>
      <c r="CE57" s="1831"/>
      <c r="CF57" s="1831">
        <v>3005</v>
      </c>
      <c r="CG57" s="1836">
        <v>6970.11</v>
      </c>
      <c r="CH57" s="1841"/>
      <c r="CI57" s="1831"/>
      <c r="CJ57" s="1831"/>
      <c r="CK57" s="1836"/>
      <c r="CL57" s="1841">
        <v>4</v>
      </c>
      <c r="CM57" s="1831">
        <v>4</v>
      </c>
      <c r="CN57" s="1831">
        <v>2952</v>
      </c>
      <c r="CO57" s="1836">
        <v>2212</v>
      </c>
      <c r="CP57" s="1841">
        <v>145</v>
      </c>
      <c r="CQ57" s="1831">
        <v>158</v>
      </c>
      <c r="CR57" s="1831">
        <v>62902</v>
      </c>
      <c r="CS57" s="1836">
        <v>22456.37</v>
      </c>
      <c r="CT57" s="1872">
        <f t="shared" si="8"/>
        <v>202.41</v>
      </c>
      <c r="CU57" s="1872">
        <f t="shared" si="9"/>
        <v>218</v>
      </c>
      <c r="CV57" s="1872">
        <f t="shared" si="10"/>
        <v>86757</v>
      </c>
      <c r="CW57" s="1872">
        <f t="shared" si="11"/>
        <v>142218.33000000002</v>
      </c>
    </row>
    <row r="58" spans="1:101" ht="16.5">
      <c r="A58" s="1848" t="s">
        <v>582</v>
      </c>
      <c r="B58" s="1842">
        <v>28</v>
      </c>
      <c r="C58" s="1831">
        <v>34</v>
      </c>
      <c r="D58" s="1833">
        <v>2700</v>
      </c>
      <c r="E58" s="1850">
        <v>44384</v>
      </c>
      <c r="F58" s="1835"/>
      <c r="G58" s="1831"/>
      <c r="H58" s="1831"/>
      <c r="I58" s="1836"/>
      <c r="J58" s="1861">
        <v>11</v>
      </c>
      <c r="K58" s="1831"/>
      <c r="L58" s="1831">
        <v>24</v>
      </c>
      <c r="M58" s="1836">
        <v>3511</v>
      </c>
      <c r="N58" s="1841"/>
      <c r="O58" s="1831"/>
      <c r="P58" s="1831"/>
      <c r="Q58" s="1836"/>
      <c r="R58" s="1841"/>
      <c r="S58" s="1831"/>
      <c r="T58" s="1831"/>
      <c r="U58" s="1836"/>
      <c r="V58" s="1841"/>
      <c r="W58" s="1831"/>
      <c r="X58" s="1831"/>
      <c r="Y58" s="1836"/>
      <c r="Z58" s="1841"/>
      <c r="AA58" s="1831"/>
      <c r="AB58" s="1831"/>
      <c r="AC58" s="1836"/>
      <c r="AD58" s="1841">
        <v>178</v>
      </c>
      <c r="AE58" s="1831">
        <v>9</v>
      </c>
      <c r="AF58" s="1831">
        <v>11790</v>
      </c>
      <c r="AG58" s="1836">
        <v>129132</v>
      </c>
      <c r="AH58" s="1841"/>
      <c r="AI58" s="1831"/>
      <c r="AJ58" s="1831"/>
      <c r="AK58" s="1836"/>
      <c r="AL58" s="1841">
        <v>9</v>
      </c>
      <c r="AM58" s="1831"/>
      <c r="AN58" s="1831">
        <v>1165</v>
      </c>
      <c r="AO58" s="1836">
        <v>22213</v>
      </c>
      <c r="AP58" s="1841"/>
      <c r="AQ58" s="1831"/>
      <c r="AR58" s="1831"/>
      <c r="AS58" s="1836"/>
      <c r="AT58" s="1841"/>
      <c r="AU58" s="1831"/>
      <c r="AV58" s="1831"/>
      <c r="AW58" s="1836"/>
      <c r="AX58" s="1841"/>
      <c r="AY58" s="1831"/>
      <c r="AZ58" s="1831"/>
      <c r="BA58" s="1836"/>
      <c r="BB58" s="1841"/>
      <c r="BC58" s="1831"/>
      <c r="BD58" s="1831"/>
      <c r="BE58" s="1836"/>
      <c r="BF58" s="1841">
        <v>4.57</v>
      </c>
      <c r="BG58" s="1831"/>
      <c r="BH58" s="1831">
        <v>1977</v>
      </c>
      <c r="BI58" s="1836">
        <v>1431.56</v>
      </c>
      <c r="BJ58" s="1841"/>
      <c r="BK58" s="1831"/>
      <c r="BL58" s="1831"/>
      <c r="BM58" s="1836"/>
      <c r="BN58" s="1841"/>
      <c r="BO58" s="1831"/>
      <c r="BP58" s="1831"/>
      <c r="BQ58" s="1836"/>
      <c r="BR58" s="1841">
        <v>1</v>
      </c>
      <c r="BS58" s="1831"/>
      <c r="BT58" s="1831"/>
      <c r="BU58" s="1836"/>
      <c r="BV58" s="1841"/>
      <c r="BW58" s="1831"/>
      <c r="BX58" s="1831"/>
      <c r="BY58" s="1836"/>
      <c r="BZ58" s="1841"/>
      <c r="CA58" s="1831">
        <v>12</v>
      </c>
      <c r="CB58" s="1831">
        <v>7526</v>
      </c>
      <c r="CC58" s="1836">
        <v>54000</v>
      </c>
      <c r="CD58" s="1841">
        <v>6.76</v>
      </c>
      <c r="CE58" s="1831"/>
      <c r="CF58" s="1831">
        <v>4867</v>
      </c>
      <c r="CG58" s="1836">
        <v>6973.68</v>
      </c>
      <c r="CH58" s="1841"/>
      <c r="CI58" s="1831"/>
      <c r="CJ58" s="1831"/>
      <c r="CK58" s="1836"/>
      <c r="CL58" s="1841">
        <v>1</v>
      </c>
      <c r="CM58" s="1831">
        <v>1</v>
      </c>
      <c r="CN58" s="1831">
        <v>103</v>
      </c>
      <c r="CO58" s="1836">
        <v>1032</v>
      </c>
      <c r="CP58" s="1841">
        <v>103.58</v>
      </c>
      <c r="CQ58" s="1831">
        <v>91</v>
      </c>
      <c r="CR58" s="1831">
        <v>68059</v>
      </c>
      <c r="CS58" s="1836">
        <v>19720.04</v>
      </c>
      <c r="CT58" s="1872">
        <f t="shared" si="8"/>
        <v>342.90999999999997</v>
      </c>
      <c r="CU58" s="1872">
        <f t="shared" si="9"/>
        <v>147</v>
      </c>
      <c r="CV58" s="1872">
        <f t="shared" si="10"/>
        <v>98211</v>
      </c>
      <c r="CW58" s="1872">
        <f t="shared" si="11"/>
        <v>282397.27999999997</v>
      </c>
    </row>
    <row r="59" spans="1:101" ht="16.5">
      <c r="A59" s="1848" t="s">
        <v>583</v>
      </c>
      <c r="B59" s="1844">
        <v>1696</v>
      </c>
      <c r="C59" s="1831">
        <v>395</v>
      </c>
      <c r="D59" s="1832">
        <v>251046</v>
      </c>
      <c r="E59" s="1850">
        <v>2680886</v>
      </c>
      <c r="F59" s="1835">
        <v>403</v>
      </c>
      <c r="G59" s="1846">
        <v>37</v>
      </c>
      <c r="H59" s="1831">
        <v>26665</v>
      </c>
      <c r="I59" s="1836">
        <v>526646</v>
      </c>
      <c r="J59" s="1841">
        <v>1832</v>
      </c>
      <c r="K59" s="1831">
        <v>9</v>
      </c>
      <c r="L59" s="1831">
        <v>91529</v>
      </c>
      <c r="M59" s="1836">
        <v>214815</v>
      </c>
      <c r="N59" s="1841"/>
      <c r="O59" s="1831"/>
      <c r="P59" s="1831"/>
      <c r="Q59" s="1836"/>
      <c r="R59" s="1841"/>
      <c r="S59" s="1831"/>
      <c r="T59" s="1831"/>
      <c r="U59" s="1836"/>
      <c r="V59" s="1841"/>
      <c r="W59" s="1831"/>
      <c r="X59" s="1831"/>
      <c r="Y59" s="1836"/>
      <c r="Z59" s="1841"/>
      <c r="AA59" s="1831"/>
      <c r="AB59" s="1831"/>
      <c r="AC59" s="1836"/>
      <c r="AD59" s="1841"/>
      <c r="AE59" s="1831"/>
      <c r="AF59" s="1831"/>
      <c r="AG59" s="1836"/>
      <c r="AH59" s="1841">
        <v>1226.39</v>
      </c>
      <c r="AI59" s="1831">
        <v>6</v>
      </c>
      <c r="AJ59" s="1831">
        <v>384808</v>
      </c>
      <c r="AK59" s="1836">
        <v>742391.4</v>
      </c>
      <c r="AL59" s="1841">
        <v>7771</v>
      </c>
      <c r="AM59" s="1831">
        <v>5</v>
      </c>
      <c r="AN59" s="1831">
        <v>135449</v>
      </c>
      <c r="AO59" s="1836">
        <v>1147818</v>
      </c>
      <c r="AP59" s="1841"/>
      <c r="AQ59" s="1831"/>
      <c r="AR59" s="1831"/>
      <c r="AS59" s="1836"/>
      <c r="AT59" s="1841"/>
      <c r="AU59" s="1831"/>
      <c r="AV59" s="1831"/>
      <c r="AW59" s="1836"/>
      <c r="AX59" s="1841">
        <v>14</v>
      </c>
      <c r="AY59" s="1831"/>
      <c r="AZ59" s="1831">
        <v>23391</v>
      </c>
      <c r="BA59" s="1836">
        <v>4961</v>
      </c>
      <c r="BB59" s="1841"/>
      <c r="BC59" s="1831"/>
      <c r="BD59" s="1831"/>
      <c r="BE59" s="1836"/>
      <c r="BF59" s="1841">
        <v>13791.67</v>
      </c>
      <c r="BG59" s="1831">
        <v>55</v>
      </c>
      <c r="BH59" s="1831">
        <v>244066</v>
      </c>
      <c r="BI59" s="1836">
        <v>1609783.16</v>
      </c>
      <c r="BJ59" s="1841"/>
      <c r="BK59" s="1831"/>
      <c r="BL59" s="1831"/>
      <c r="BM59" s="1836"/>
      <c r="BN59" s="1841"/>
      <c r="BO59" s="1831"/>
      <c r="BP59" s="1831"/>
      <c r="BQ59" s="1836"/>
      <c r="BR59" s="1841">
        <v>1030</v>
      </c>
      <c r="BS59" s="1831">
        <v>1</v>
      </c>
      <c r="BT59" s="1831">
        <v>30</v>
      </c>
      <c r="BU59" s="1836">
        <v>578</v>
      </c>
      <c r="BV59" s="1841"/>
      <c r="BW59" s="1831"/>
      <c r="BX59" s="1831"/>
      <c r="BY59" s="1836"/>
      <c r="BZ59" s="1841">
        <v>4800</v>
      </c>
      <c r="CA59" s="1831">
        <v>138</v>
      </c>
      <c r="CB59" s="1831">
        <v>977958</v>
      </c>
      <c r="CC59" s="1836">
        <v>7520300</v>
      </c>
      <c r="CD59" s="1841">
        <v>223.03</v>
      </c>
      <c r="CE59" s="1831">
        <v>4</v>
      </c>
      <c r="CF59" s="1831">
        <v>85645</v>
      </c>
      <c r="CG59" s="1836">
        <v>135398.29</v>
      </c>
      <c r="CH59" s="1841">
        <v>1111.11</v>
      </c>
      <c r="CI59" s="1831"/>
      <c r="CJ59" s="1831">
        <v>396523</v>
      </c>
      <c r="CK59" s="1836">
        <v>810064.4</v>
      </c>
      <c r="CL59" s="1841">
        <v>1256</v>
      </c>
      <c r="CM59" s="1831">
        <v>38</v>
      </c>
      <c r="CN59" s="1831">
        <v>117070</v>
      </c>
      <c r="CO59" s="1836">
        <v>1914981</v>
      </c>
      <c r="CP59" s="1841"/>
      <c r="CQ59" s="1831"/>
      <c r="CR59" s="1831"/>
      <c r="CS59" s="1836"/>
      <c r="CT59" s="1872">
        <f t="shared" si="8"/>
        <v>35154.2</v>
      </c>
      <c r="CU59" s="1872">
        <f t="shared" si="9"/>
        <v>688</v>
      </c>
      <c r="CV59" s="1872">
        <f t="shared" si="10"/>
        <v>2734180</v>
      </c>
      <c r="CW59" s="1872">
        <f t="shared" si="11"/>
        <v>17308622.25</v>
      </c>
    </row>
    <row r="60" spans="1:101" ht="16.5">
      <c r="A60" s="1847" t="s">
        <v>599</v>
      </c>
      <c r="B60" s="1841"/>
      <c r="C60" s="1831"/>
      <c r="D60" s="1831"/>
      <c r="E60" s="1850"/>
      <c r="F60" s="1835"/>
      <c r="G60" s="1831"/>
      <c r="H60" s="1831"/>
      <c r="I60" s="1836"/>
      <c r="J60" s="1862"/>
      <c r="K60" s="1831"/>
      <c r="L60" s="1831"/>
      <c r="M60" s="1836"/>
      <c r="N60" s="1841"/>
      <c r="O60" s="1831"/>
      <c r="P60" s="1831"/>
      <c r="Q60" s="1836"/>
      <c r="R60" s="1841"/>
      <c r="S60" s="1831"/>
      <c r="T60" s="1831"/>
      <c r="U60" s="1836"/>
      <c r="V60" s="1841"/>
      <c r="W60" s="1831"/>
      <c r="X60" s="1831"/>
      <c r="Y60" s="1836"/>
      <c r="Z60" s="1841"/>
      <c r="AA60" s="1831"/>
      <c r="AB60" s="1831"/>
      <c r="AC60" s="1836"/>
      <c r="AD60" s="1841"/>
      <c r="AE60" s="1831"/>
      <c r="AF60" s="1831"/>
      <c r="AG60" s="1836"/>
      <c r="AH60" s="1841"/>
      <c r="AI60" s="1831"/>
      <c r="AJ60" s="1831"/>
      <c r="AK60" s="1836"/>
      <c r="AL60" s="1841"/>
      <c r="AM60" s="1831"/>
      <c r="AN60" s="1831"/>
      <c r="AO60" s="1836"/>
      <c r="AP60" s="1841"/>
      <c r="AQ60" s="1831"/>
      <c r="AR60" s="1831"/>
      <c r="AS60" s="1836"/>
      <c r="AT60" s="1841"/>
      <c r="AU60" s="1831"/>
      <c r="AV60" s="1831"/>
      <c r="AW60" s="1836"/>
      <c r="AX60" s="1841"/>
      <c r="AY60" s="1831"/>
      <c r="AZ60" s="1831"/>
      <c r="BA60" s="1836"/>
      <c r="BB60" s="1841"/>
      <c r="BC60" s="1831"/>
      <c r="BD60" s="1831"/>
      <c r="BE60" s="1836"/>
      <c r="BF60" s="1841"/>
      <c r="BG60" s="1831"/>
      <c r="BH60" s="1831"/>
      <c r="BI60" s="1836"/>
      <c r="BJ60" s="1841"/>
      <c r="BK60" s="1831"/>
      <c r="BL60" s="1831"/>
      <c r="BM60" s="1836"/>
      <c r="BN60" s="1841"/>
      <c r="BO60" s="1831"/>
      <c r="BP60" s="1831"/>
      <c r="BQ60" s="1836"/>
      <c r="BR60" s="1841"/>
      <c r="BS60" s="1831"/>
      <c r="BT60" s="1831"/>
      <c r="BU60" s="1836"/>
      <c r="BV60" s="1841"/>
      <c r="BW60" s="1831"/>
      <c r="BX60" s="1831"/>
      <c r="BY60" s="1836"/>
      <c r="BZ60" s="1841"/>
      <c r="CA60" s="1831"/>
      <c r="CB60" s="1831"/>
      <c r="CC60" s="1836"/>
      <c r="CD60" s="1841"/>
      <c r="CE60" s="1831"/>
      <c r="CF60" s="1831"/>
      <c r="CG60" s="1836"/>
      <c r="CH60" s="1841"/>
      <c r="CI60" s="1831"/>
      <c r="CJ60" s="1831"/>
      <c r="CK60" s="1836"/>
      <c r="CL60" s="1841"/>
      <c r="CM60" s="1831"/>
      <c r="CN60" s="1831"/>
      <c r="CO60" s="1836"/>
      <c r="CP60" s="1841"/>
      <c r="CQ60" s="1831"/>
      <c r="CR60" s="1831"/>
      <c r="CS60" s="1836"/>
      <c r="CT60" s="1872">
        <f t="shared" si="8"/>
        <v>0</v>
      </c>
      <c r="CU60" s="1872">
        <f t="shared" si="9"/>
        <v>0</v>
      </c>
      <c r="CV60" s="1872">
        <f t="shared" si="10"/>
        <v>0</v>
      </c>
      <c r="CW60" s="1872">
        <f t="shared" si="11"/>
        <v>0</v>
      </c>
    </row>
    <row r="61" spans="1:101" ht="16.5">
      <c r="A61" s="1848" t="s">
        <v>577</v>
      </c>
      <c r="B61" s="1843"/>
      <c r="C61" s="1831"/>
      <c r="D61" s="1833"/>
      <c r="E61" s="1850"/>
      <c r="F61" s="1857"/>
      <c r="G61" s="1831"/>
      <c r="H61" s="1831"/>
      <c r="I61" s="1836"/>
      <c r="J61" s="1841"/>
      <c r="K61" s="1831"/>
      <c r="L61" s="1831"/>
      <c r="M61" s="1836"/>
      <c r="N61" s="1841"/>
      <c r="O61" s="1831"/>
      <c r="P61" s="1831"/>
      <c r="Q61" s="1836"/>
      <c r="R61" s="1841"/>
      <c r="S61" s="1831"/>
      <c r="T61" s="1831"/>
      <c r="U61" s="1836"/>
      <c r="V61" s="1841"/>
      <c r="W61" s="1831"/>
      <c r="X61" s="1831"/>
      <c r="Y61" s="1836"/>
      <c r="Z61" s="1841"/>
      <c r="AA61" s="1831"/>
      <c r="AB61" s="1831"/>
      <c r="AC61" s="1836"/>
      <c r="AD61" s="1841"/>
      <c r="AE61" s="1831"/>
      <c r="AF61" s="1831"/>
      <c r="AG61" s="1836"/>
      <c r="AH61" s="1841"/>
      <c r="AI61" s="1831"/>
      <c r="AJ61" s="1831"/>
      <c r="AK61" s="1836"/>
      <c r="AL61" s="1841"/>
      <c r="AM61" s="1831"/>
      <c r="AN61" s="1831"/>
      <c r="AO61" s="1836"/>
      <c r="AP61" s="1841"/>
      <c r="AQ61" s="1831"/>
      <c r="AR61" s="1831"/>
      <c r="AS61" s="1836"/>
      <c r="AT61" s="1841"/>
      <c r="AU61" s="1831"/>
      <c r="AV61" s="1831"/>
      <c r="AW61" s="1836"/>
      <c r="AX61" s="1841"/>
      <c r="AY61" s="1831"/>
      <c r="AZ61" s="1831"/>
      <c r="BA61" s="1836"/>
      <c r="BB61" s="1841"/>
      <c r="BC61" s="1831"/>
      <c r="BD61" s="1831"/>
      <c r="BE61" s="1836"/>
      <c r="BF61" s="1841"/>
      <c r="BG61" s="1831"/>
      <c r="BH61" s="1831"/>
      <c r="BI61" s="1836">
        <v>9308.71</v>
      </c>
      <c r="BJ61" s="1841"/>
      <c r="BK61" s="1831"/>
      <c r="BL61" s="1831"/>
      <c r="BM61" s="1836"/>
      <c r="BN61" s="1841"/>
      <c r="BO61" s="1831"/>
      <c r="BP61" s="1831"/>
      <c r="BQ61" s="1836"/>
      <c r="BR61" s="1841"/>
      <c r="BS61" s="1831"/>
      <c r="BT61" s="1831"/>
      <c r="BU61" s="1836"/>
      <c r="BV61" s="1841"/>
      <c r="BW61" s="1831"/>
      <c r="BX61" s="1831"/>
      <c r="BY61" s="1836"/>
      <c r="BZ61" s="1841"/>
      <c r="CA61" s="1831"/>
      <c r="CB61" s="1831"/>
      <c r="CC61" s="1836"/>
      <c r="CD61" s="1841"/>
      <c r="CE61" s="1831"/>
      <c r="CF61" s="1831"/>
      <c r="CG61" s="1836"/>
      <c r="CH61" s="1841"/>
      <c r="CI61" s="1831"/>
      <c r="CJ61" s="1831"/>
      <c r="CK61" s="1836"/>
      <c r="CL61" s="1841"/>
      <c r="CM61" s="1831"/>
      <c r="CN61" s="1831"/>
      <c r="CO61" s="1836"/>
      <c r="CP61" s="1841"/>
      <c r="CQ61" s="1831"/>
      <c r="CR61" s="1831"/>
      <c r="CS61" s="1836"/>
      <c r="CT61" s="1872">
        <f t="shared" si="8"/>
        <v>0</v>
      </c>
      <c r="CU61" s="1872">
        <f t="shared" si="9"/>
        <v>0</v>
      </c>
      <c r="CV61" s="1872">
        <f t="shared" si="10"/>
        <v>0</v>
      </c>
      <c r="CW61" s="1872">
        <f t="shared" si="11"/>
        <v>9308.71</v>
      </c>
    </row>
    <row r="62" spans="1:101" ht="16.5">
      <c r="A62" s="1848" t="s">
        <v>578</v>
      </c>
      <c r="B62" s="1843"/>
      <c r="C62" s="1831"/>
      <c r="D62" s="1833"/>
      <c r="E62" s="1850"/>
      <c r="F62" s="1835"/>
      <c r="G62" s="1831"/>
      <c r="H62" s="1831"/>
      <c r="I62" s="1865"/>
      <c r="J62" s="1862"/>
      <c r="K62" s="1831"/>
      <c r="L62" s="1831"/>
      <c r="M62" s="1836"/>
      <c r="N62" s="1841"/>
      <c r="O62" s="1831"/>
      <c r="P62" s="1831"/>
      <c r="Q62" s="1836"/>
      <c r="R62" s="1841"/>
      <c r="S62" s="1831"/>
      <c r="T62" s="1831"/>
      <c r="U62" s="1836"/>
      <c r="V62" s="1841"/>
      <c r="W62" s="1831"/>
      <c r="X62" s="1831"/>
      <c r="Y62" s="1836"/>
      <c r="Z62" s="1841"/>
      <c r="AA62" s="1831"/>
      <c r="AB62" s="1831"/>
      <c r="AC62" s="1836"/>
      <c r="AD62" s="1841"/>
      <c r="AE62" s="1831"/>
      <c r="AF62" s="1831"/>
      <c r="AG62" s="1836"/>
      <c r="AH62" s="1841"/>
      <c r="AI62" s="1831"/>
      <c r="AJ62" s="1831"/>
      <c r="AK62" s="1836"/>
      <c r="AL62" s="1841"/>
      <c r="AM62" s="1831"/>
      <c r="AN62" s="1831"/>
      <c r="AO62" s="1836"/>
      <c r="AP62" s="1841"/>
      <c r="AQ62" s="1831"/>
      <c r="AR62" s="1831"/>
      <c r="AS62" s="1836"/>
      <c r="AT62" s="1841"/>
      <c r="AU62" s="1831"/>
      <c r="AV62" s="1831"/>
      <c r="AW62" s="1836"/>
      <c r="AX62" s="1841"/>
      <c r="AY62" s="1831"/>
      <c r="AZ62" s="1831"/>
      <c r="BA62" s="1836"/>
      <c r="BB62" s="1841"/>
      <c r="BC62" s="1831"/>
      <c r="BD62" s="1831"/>
      <c r="BE62" s="1836"/>
      <c r="BF62" s="1841">
        <v>0.25</v>
      </c>
      <c r="BG62" s="1831"/>
      <c r="BH62" s="1831"/>
      <c r="BI62" s="1836">
        <v>12.83</v>
      </c>
      <c r="BJ62" s="1841"/>
      <c r="BK62" s="1831"/>
      <c r="BL62" s="1831"/>
      <c r="BM62" s="1836"/>
      <c r="BN62" s="1841"/>
      <c r="BO62" s="1831"/>
      <c r="BP62" s="1831"/>
      <c r="BQ62" s="1836"/>
      <c r="BR62" s="1841"/>
      <c r="BS62" s="1831"/>
      <c r="BT62" s="1831"/>
      <c r="BU62" s="1836"/>
      <c r="BV62" s="1841"/>
      <c r="BW62" s="1831"/>
      <c r="BX62" s="1831"/>
      <c r="BY62" s="1836"/>
      <c r="BZ62" s="1841"/>
      <c r="CA62" s="1831"/>
      <c r="CB62" s="1831"/>
      <c r="CC62" s="1836"/>
      <c r="CD62" s="1841"/>
      <c r="CE62" s="1831"/>
      <c r="CF62" s="1831"/>
      <c r="CG62" s="1836"/>
      <c r="CH62" s="1841"/>
      <c r="CI62" s="1831"/>
      <c r="CJ62" s="1831"/>
      <c r="CK62" s="1836"/>
      <c r="CL62" s="1841"/>
      <c r="CM62" s="1831"/>
      <c r="CN62" s="1831"/>
      <c r="CO62" s="1836"/>
      <c r="CP62" s="1841"/>
      <c r="CQ62" s="1831"/>
      <c r="CR62" s="1831"/>
      <c r="CS62" s="1836"/>
      <c r="CT62" s="1872">
        <f t="shared" si="8"/>
        <v>0.25</v>
      </c>
      <c r="CU62" s="1872">
        <f t="shared" si="9"/>
        <v>0</v>
      </c>
      <c r="CV62" s="1872">
        <f t="shared" si="10"/>
        <v>0</v>
      </c>
      <c r="CW62" s="1872">
        <f t="shared" si="11"/>
        <v>12.83</v>
      </c>
    </row>
    <row r="63" spans="1:101" ht="16.5">
      <c r="A63" s="1848" t="s">
        <v>579</v>
      </c>
      <c r="B63" s="1843"/>
      <c r="C63" s="1831"/>
      <c r="D63" s="1833"/>
      <c r="E63" s="1850"/>
      <c r="F63" s="1835"/>
      <c r="G63" s="1846"/>
      <c r="H63" s="1831"/>
      <c r="I63" s="1836"/>
      <c r="J63" s="1862"/>
      <c r="K63" s="1831"/>
      <c r="L63" s="1831"/>
      <c r="M63" s="1836"/>
      <c r="N63" s="1841"/>
      <c r="O63" s="1831"/>
      <c r="P63" s="1831"/>
      <c r="Q63" s="1836"/>
      <c r="R63" s="1841"/>
      <c r="S63" s="1831"/>
      <c r="T63" s="1831"/>
      <c r="U63" s="1836"/>
      <c r="V63" s="1841"/>
      <c r="W63" s="1831"/>
      <c r="X63" s="1831"/>
      <c r="Y63" s="1836"/>
      <c r="Z63" s="1841"/>
      <c r="AA63" s="1831"/>
      <c r="AB63" s="1831"/>
      <c r="AC63" s="1836"/>
      <c r="AD63" s="1841"/>
      <c r="AE63" s="1831"/>
      <c r="AF63" s="1831"/>
      <c r="AG63" s="1836"/>
      <c r="AH63" s="1841"/>
      <c r="AI63" s="1831"/>
      <c r="AJ63" s="1831"/>
      <c r="AK63" s="1836"/>
      <c r="AL63" s="1841"/>
      <c r="AM63" s="1831"/>
      <c r="AN63" s="1831"/>
      <c r="AO63" s="1836"/>
      <c r="AP63" s="1841"/>
      <c r="AQ63" s="1831"/>
      <c r="AR63" s="1831"/>
      <c r="AS63" s="1836"/>
      <c r="AT63" s="1841"/>
      <c r="AU63" s="1831"/>
      <c r="AV63" s="1831"/>
      <c r="AW63" s="1836"/>
      <c r="AX63" s="1841"/>
      <c r="AY63" s="1831"/>
      <c r="AZ63" s="1831"/>
      <c r="BA63" s="1836"/>
      <c r="BB63" s="1841"/>
      <c r="BC63" s="1831"/>
      <c r="BD63" s="1831"/>
      <c r="BE63" s="1836"/>
      <c r="BF63" s="1841">
        <v>1.57</v>
      </c>
      <c r="BG63" s="1831"/>
      <c r="BH63" s="1831"/>
      <c r="BI63" s="1836">
        <v>5.14</v>
      </c>
      <c r="BJ63" s="1841"/>
      <c r="BK63" s="1831"/>
      <c r="BL63" s="1831"/>
      <c r="BM63" s="1836"/>
      <c r="BN63" s="1841"/>
      <c r="BO63" s="1831"/>
      <c r="BP63" s="1831"/>
      <c r="BQ63" s="1836"/>
      <c r="BR63" s="1841"/>
      <c r="BS63" s="1831"/>
      <c r="BT63" s="1831"/>
      <c r="BU63" s="1836"/>
      <c r="BV63" s="1841"/>
      <c r="BW63" s="1831"/>
      <c r="BX63" s="1831"/>
      <c r="BY63" s="1836"/>
      <c r="BZ63" s="1841"/>
      <c r="CA63" s="1831"/>
      <c r="CB63" s="1831"/>
      <c r="CC63" s="1836"/>
      <c r="CD63" s="1841"/>
      <c r="CE63" s="1831"/>
      <c r="CF63" s="1831"/>
      <c r="CG63" s="1836"/>
      <c r="CH63" s="1841"/>
      <c r="CI63" s="1831"/>
      <c r="CJ63" s="1831"/>
      <c r="CK63" s="1836"/>
      <c r="CL63" s="1841"/>
      <c r="CM63" s="1831"/>
      <c r="CN63" s="1831"/>
      <c r="CO63" s="1836"/>
      <c r="CP63" s="1841"/>
      <c r="CQ63" s="1831"/>
      <c r="CR63" s="1831"/>
      <c r="CS63" s="1836"/>
      <c r="CT63" s="1872">
        <f t="shared" si="8"/>
        <v>1.57</v>
      </c>
      <c r="CU63" s="1872">
        <f t="shared" si="9"/>
        <v>0</v>
      </c>
      <c r="CV63" s="1872">
        <f t="shared" si="10"/>
        <v>0</v>
      </c>
      <c r="CW63" s="1872">
        <f t="shared" si="11"/>
        <v>5.14</v>
      </c>
    </row>
    <row r="64" spans="1:101" ht="16.5">
      <c r="A64" s="1848" t="s">
        <v>580</v>
      </c>
      <c r="B64" s="1843"/>
      <c r="C64" s="1831"/>
      <c r="D64" s="1833"/>
      <c r="E64" s="1850"/>
      <c r="F64" s="1835"/>
      <c r="G64" s="1831"/>
      <c r="H64" s="1831"/>
      <c r="I64" s="1836"/>
      <c r="J64" s="1841"/>
      <c r="K64" s="1831"/>
      <c r="L64" s="1831"/>
      <c r="M64" s="1836"/>
      <c r="N64" s="1841"/>
      <c r="O64" s="1831"/>
      <c r="P64" s="1831"/>
      <c r="Q64" s="1836"/>
      <c r="R64" s="1841"/>
      <c r="S64" s="1831"/>
      <c r="T64" s="1831"/>
      <c r="U64" s="1836"/>
      <c r="V64" s="1841"/>
      <c r="W64" s="1831"/>
      <c r="X64" s="1831"/>
      <c r="Y64" s="1836"/>
      <c r="Z64" s="1841"/>
      <c r="AA64" s="1831"/>
      <c r="AB64" s="1831"/>
      <c r="AC64" s="1836"/>
      <c r="AD64" s="1841"/>
      <c r="AE64" s="1831"/>
      <c r="AF64" s="1831"/>
      <c r="AG64" s="1836"/>
      <c r="AH64" s="1841"/>
      <c r="AI64" s="1831"/>
      <c r="AJ64" s="1831"/>
      <c r="AK64" s="1836"/>
      <c r="AL64" s="1841"/>
      <c r="AM64" s="1831"/>
      <c r="AN64" s="1831"/>
      <c r="AO64" s="1836"/>
      <c r="AP64" s="1841"/>
      <c r="AQ64" s="1831"/>
      <c r="AR64" s="1831"/>
      <c r="AS64" s="1836"/>
      <c r="AT64" s="1841"/>
      <c r="AU64" s="1831"/>
      <c r="AV64" s="1831"/>
      <c r="AW64" s="1836"/>
      <c r="AX64" s="1841"/>
      <c r="AY64" s="1831"/>
      <c r="AZ64" s="1831"/>
      <c r="BA64" s="1836"/>
      <c r="BB64" s="1841"/>
      <c r="BC64" s="1831"/>
      <c r="BD64" s="1831"/>
      <c r="BE64" s="1836"/>
      <c r="BF64" s="1841">
        <v>1.75</v>
      </c>
      <c r="BG64" s="1831"/>
      <c r="BH64" s="1831"/>
      <c r="BI64" s="1836">
        <v>6.93</v>
      </c>
      <c r="BJ64" s="1841"/>
      <c r="BK64" s="1831"/>
      <c r="BL64" s="1831"/>
      <c r="BM64" s="1836"/>
      <c r="BN64" s="1841"/>
      <c r="BO64" s="1831"/>
      <c r="BP64" s="1831"/>
      <c r="BQ64" s="1836"/>
      <c r="BR64" s="1841"/>
      <c r="BS64" s="1831"/>
      <c r="BT64" s="1831"/>
      <c r="BU64" s="1836"/>
      <c r="BV64" s="1841"/>
      <c r="BW64" s="1831"/>
      <c r="BX64" s="1831"/>
      <c r="BY64" s="1836"/>
      <c r="BZ64" s="1841"/>
      <c r="CA64" s="1831"/>
      <c r="CB64" s="1831"/>
      <c r="CC64" s="1836"/>
      <c r="CD64" s="1841"/>
      <c r="CE64" s="1831"/>
      <c r="CF64" s="1831"/>
      <c r="CG64" s="1836"/>
      <c r="CH64" s="1841"/>
      <c r="CI64" s="1831"/>
      <c r="CJ64" s="1831"/>
      <c r="CK64" s="1836"/>
      <c r="CL64" s="1841"/>
      <c r="CM64" s="1831"/>
      <c r="CN64" s="1831"/>
      <c r="CO64" s="1836"/>
      <c r="CP64" s="1841"/>
      <c r="CQ64" s="1831"/>
      <c r="CR64" s="1831"/>
      <c r="CS64" s="1836"/>
      <c r="CT64" s="1872">
        <f t="shared" si="8"/>
        <v>1.75</v>
      </c>
      <c r="CU64" s="1872">
        <f t="shared" si="9"/>
        <v>0</v>
      </c>
      <c r="CV64" s="1872">
        <f t="shared" si="10"/>
        <v>0</v>
      </c>
      <c r="CW64" s="1872">
        <f t="shared" si="11"/>
        <v>6.93</v>
      </c>
    </row>
    <row r="65" spans="1:101" ht="16.5">
      <c r="A65" s="1848" t="s">
        <v>581</v>
      </c>
      <c r="B65" s="1843"/>
      <c r="C65" s="1831"/>
      <c r="D65" s="1833"/>
      <c r="E65" s="1850"/>
      <c r="F65" s="1835"/>
      <c r="G65" s="1831"/>
      <c r="H65" s="1831"/>
      <c r="I65" s="1836"/>
      <c r="J65" s="1841"/>
      <c r="K65" s="1831"/>
      <c r="L65" s="1831"/>
      <c r="M65" s="1836"/>
      <c r="N65" s="1841"/>
      <c r="O65" s="1831"/>
      <c r="P65" s="1831"/>
      <c r="Q65" s="1836"/>
      <c r="R65" s="1841"/>
      <c r="S65" s="1831"/>
      <c r="T65" s="1831"/>
      <c r="U65" s="1836"/>
      <c r="V65" s="1841"/>
      <c r="W65" s="1831"/>
      <c r="X65" s="1831"/>
      <c r="Y65" s="1836"/>
      <c r="Z65" s="1841"/>
      <c r="AA65" s="1831"/>
      <c r="AB65" s="1831"/>
      <c r="AC65" s="1836"/>
      <c r="AD65" s="1841"/>
      <c r="AE65" s="1831"/>
      <c r="AF65" s="1831"/>
      <c r="AG65" s="1836"/>
      <c r="AH65" s="1841"/>
      <c r="AI65" s="1831"/>
      <c r="AJ65" s="1831"/>
      <c r="AK65" s="1836"/>
      <c r="AL65" s="1841"/>
      <c r="AM65" s="1831"/>
      <c r="AN65" s="1831"/>
      <c r="AO65" s="1836"/>
      <c r="AP65" s="1841"/>
      <c r="AQ65" s="1831"/>
      <c r="AR65" s="1831"/>
      <c r="AS65" s="1836"/>
      <c r="AT65" s="1841"/>
      <c r="AU65" s="1831"/>
      <c r="AV65" s="1831"/>
      <c r="AW65" s="1836"/>
      <c r="AX65" s="1841"/>
      <c r="AY65" s="1831"/>
      <c r="AZ65" s="1831"/>
      <c r="BA65" s="1836"/>
      <c r="BB65" s="1841"/>
      <c r="BC65" s="1831"/>
      <c r="BD65" s="1831"/>
      <c r="BE65" s="1836"/>
      <c r="BF65" s="1841"/>
      <c r="BG65" s="1831"/>
      <c r="BH65" s="1831"/>
      <c r="BI65" s="1836"/>
      <c r="BJ65" s="1841"/>
      <c r="BK65" s="1831"/>
      <c r="BL65" s="1831"/>
      <c r="BM65" s="1836"/>
      <c r="BN65" s="1841"/>
      <c r="BO65" s="1831"/>
      <c r="BP65" s="1831"/>
      <c r="BQ65" s="1836"/>
      <c r="BR65" s="1841"/>
      <c r="BS65" s="1831"/>
      <c r="BT65" s="1831"/>
      <c r="BU65" s="1836"/>
      <c r="BV65" s="1841"/>
      <c r="BW65" s="1831"/>
      <c r="BX65" s="1831"/>
      <c r="BY65" s="1836"/>
      <c r="BZ65" s="1841"/>
      <c r="CA65" s="1831"/>
      <c r="CB65" s="1831"/>
      <c r="CC65" s="1836"/>
      <c r="CD65" s="1841"/>
      <c r="CE65" s="1831"/>
      <c r="CF65" s="1831"/>
      <c r="CG65" s="1836"/>
      <c r="CH65" s="1841"/>
      <c r="CI65" s="1831"/>
      <c r="CJ65" s="1831"/>
      <c r="CK65" s="1836"/>
      <c r="CL65" s="1841"/>
      <c r="CM65" s="1831"/>
      <c r="CN65" s="1831"/>
      <c r="CO65" s="1836"/>
      <c r="CP65" s="1841"/>
      <c r="CQ65" s="1831"/>
      <c r="CR65" s="1831"/>
      <c r="CS65" s="1836"/>
      <c r="CT65" s="1872">
        <f t="shared" si="8"/>
        <v>0</v>
      </c>
      <c r="CU65" s="1872">
        <f t="shared" si="9"/>
        <v>0</v>
      </c>
      <c r="CV65" s="1872">
        <f t="shared" si="10"/>
        <v>0</v>
      </c>
      <c r="CW65" s="1872">
        <f t="shared" si="11"/>
        <v>0</v>
      </c>
    </row>
    <row r="66" spans="1:101" ht="16.5">
      <c r="A66" s="1848" t="s">
        <v>582</v>
      </c>
      <c r="B66" s="1843"/>
      <c r="C66" s="1831"/>
      <c r="D66" s="1833"/>
      <c r="E66" s="1850"/>
      <c r="F66" s="1835"/>
      <c r="G66" s="1831"/>
      <c r="H66" s="1831"/>
      <c r="I66" s="1836"/>
      <c r="J66" s="1841"/>
      <c r="K66" s="1831"/>
      <c r="L66" s="1831"/>
      <c r="M66" s="1836"/>
      <c r="N66" s="1841"/>
      <c r="O66" s="1831"/>
      <c r="P66" s="1831"/>
      <c r="Q66" s="1836"/>
      <c r="R66" s="1841"/>
      <c r="S66" s="1831"/>
      <c r="T66" s="1831"/>
      <c r="U66" s="1836"/>
      <c r="V66" s="1841"/>
      <c r="W66" s="1831"/>
      <c r="X66" s="1831"/>
      <c r="Y66" s="1836"/>
      <c r="Z66" s="1841"/>
      <c r="AA66" s="1831"/>
      <c r="AB66" s="1831"/>
      <c r="AC66" s="1836"/>
      <c r="AD66" s="1841"/>
      <c r="AE66" s="1831"/>
      <c r="AF66" s="1831"/>
      <c r="AG66" s="1836"/>
      <c r="AH66" s="1841"/>
      <c r="AI66" s="1831"/>
      <c r="AJ66" s="1831"/>
      <c r="AK66" s="1836"/>
      <c r="AL66" s="1841"/>
      <c r="AM66" s="1831"/>
      <c r="AN66" s="1831"/>
      <c r="AO66" s="1836"/>
      <c r="AP66" s="1841"/>
      <c r="AQ66" s="1831"/>
      <c r="AR66" s="1831"/>
      <c r="AS66" s="1836"/>
      <c r="AT66" s="1841"/>
      <c r="AU66" s="1831"/>
      <c r="AV66" s="1831"/>
      <c r="AW66" s="1836"/>
      <c r="AX66" s="1841"/>
      <c r="AY66" s="1831"/>
      <c r="AZ66" s="1831"/>
      <c r="BA66" s="1836"/>
      <c r="BB66" s="1841"/>
      <c r="BC66" s="1831"/>
      <c r="BD66" s="1831"/>
      <c r="BE66" s="1836"/>
      <c r="BF66" s="1841"/>
      <c r="BG66" s="1831"/>
      <c r="BH66" s="1831"/>
      <c r="BI66" s="1836"/>
      <c r="BJ66" s="1841"/>
      <c r="BK66" s="1831"/>
      <c r="BL66" s="1831"/>
      <c r="BM66" s="1836"/>
      <c r="BN66" s="1841"/>
      <c r="BO66" s="1831"/>
      <c r="BP66" s="1831"/>
      <c r="BQ66" s="1836"/>
      <c r="BR66" s="1841"/>
      <c r="BS66" s="1831"/>
      <c r="BT66" s="1831"/>
      <c r="BU66" s="1836"/>
      <c r="BV66" s="1841"/>
      <c r="BW66" s="1831"/>
      <c r="BX66" s="1831"/>
      <c r="BY66" s="1836"/>
      <c r="BZ66" s="1841"/>
      <c r="CA66" s="1831"/>
      <c r="CB66" s="1831"/>
      <c r="CC66" s="1836"/>
      <c r="CD66" s="1841"/>
      <c r="CE66" s="1831"/>
      <c r="CF66" s="1831"/>
      <c r="CG66" s="1836"/>
      <c r="CH66" s="1841"/>
      <c r="CI66" s="1831"/>
      <c r="CJ66" s="1831"/>
      <c r="CK66" s="1836"/>
      <c r="CL66" s="1841"/>
      <c r="CM66" s="1831"/>
      <c r="CN66" s="1831"/>
      <c r="CO66" s="1836"/>
      <c r="CP66" s="1841"/>
      <c r="CQ66" s="1831"/>
      <c r="CR66" s="1831"/>
      <c r="CS66" s="1836"/>
      <c r="CT66" s="1872">
        <f t="shared" si="8"/>
        <v>0</v>
      </c>
      <c r="CU66" s="1872">
        <f t="shared" si="9"/>
        <v>0</v>
      </c>
      <c r="CV66" s="1872">
        <f t="shared" si="10"/>
        <v>0</v>
      </c>
      <c r="CW66" s="1872">
        <f t="shared" si="11"/>
        <v>0</v>
      </c>
    </row>
    <row r="67" spans="1:101" ht="17.25" thickBot="1">
      <c r="A67" s="1849" t="s">
        <v>583</v>
      </c>
      <c r="B67" s="1845"/>
      <c r="C67" s="1837"/>
      <c r="D67" s="1838"/>
      <c r="E67" s="1851"/>
      <c r="F67" s="1858"/>
      <c r="G67" s="1859"/>
      <c r="H67" s="1837"/>
      <c r="I67" s="1866"/>
      <c r="J67" s="1863"/>
      <c r="K67" s="1837"/>
      <c r="L67" s="1837"/>
      <c r="M67" s="1839"/>
      <c r="N67" s="1867"/>
      <c r="O67" s="1837"/>
      <c r="P67" s="1837"/>
      <c r="Q67" s="1839"/>
      <c r="R67" s="1867"/>
      <c r="S67" s="1837"/>
      <c r="T67" s="1837"/>
      <c r="U67" s="1839"/>
      <c r="V67" s="1867"/>
      <c r="W67" s="1837"/>
      <c r="X67" s="1837"/>
      <c r="Y67" s="1839"/>
      <c r="Z67" s="1867"/>
      <c r="AA67" s="1837"/>
      <c r="AB67" s="1837"/>
      <c r="AC67" s="1839"/>
      <c r="AD67" s="1867"/>
      <c r="AE67" s="1837"/>
      <c r="AF67" s="1837"/>
      <c r="AG67" s="1839"/>
      <c r="AH67" s="1867"/>
      <c r="AI67" s="1837"/>
      <c r="AJ67" s="1837"/>
      <c r="AK67" s="1839"/>
      <c r="AL67" s="1867"/>
      <c r="AM67" s="1837"/>
      <c r="AN67" s="1837"/>
      <c r="AO67" s="1839"/>
      <c r="AP67" s="1867"/>
      <c r="AQ67" s="1837"/>
      <c r="AR67" s="1837"/>
      <c r="AS67" s="1839"/>
      <c r="AT67" s="1867"/>
      <c r="AU67" s="1837"/>
      <c r="AV67" s="1837"/>
      <c r="AW67" s="1839"/>
      <c r="AX67" s="1867"/>
      <c r="AY67" s="1837"/>
      <c r="AZ67" s="1837"/>
      <c r="BA67" s="1839"/>
      <c r="BB67" s="1867"/>
      <c r="BC67" s="1837"/>
      <c r="BD67" s="1837"/>
      <c r="BE67" s="1839"/>
      <c r="BF67" s="1867">
        <v>19694.76</v>
      </c>
      <c r="BG67" s="1837">
        <v>3</v>
      </c>
      <c r="BH67" s="1837">
        <v>82</v>
      </c>
      <c r="BI67" s="1839">
        <v>20349.63</v>
      </c>
      <c r="BJ67" s="1867"/>
      <c r="BK67" s="1837"/>
      <c r="BL67" s="1837"/>
      <c r="BM67" s="1839"/>
      <c r="BN67" s="1867"/>
      <c r="BO67" s="1837"/>
      <c r="BP67" s="1837"/>
      <c r="BQ67" s="1839"/>
      <c r="BR67" s="1867"/>
      <c r="BS67" s="1837"/>
      <c r="BT67" s="1837"/>
      <c r="BU67" s="1839"/>
      <c r="BV67" s="1867"/>
      <c r="BW67" s="1837"/>
      <c r="BX67" s="1837"/>
      <c r="BY67" s="1839"/>
      <c r="BZ67" s="1867"/>
      <c r="CA67" s="1837"/>
      <c r="CB67" s="1837"/>
      <c r="CC67" s="1839"/>
      <c r="CD67" s="1867"/>
      <c r="CE67" s="1837"/>
      <c r="CF67" s="1837"/>
      <c r="CG67" s="1839"/>
      <c r="CH67" s="1867"/>
      <c r="CI67" s="1837"/>
      <c r="CJ67" s="1837"/>
      <c r="CK67" s="1839"/>
      <c r="CL67" s="1867"/>
      <c r="CM67" s="1837"/>
      <c r="CN67" s="1837"/>
      <c r="CO67" s="1839"/>
      <c r="CP67" s="1867"/>
      <c r="CQ67" s="1837"/>
      <c r="CR67" s="1837"/>
      <c r="CS67" s="1839"/>
      <c r="CT67" s="1872">
        <f t="shared" si="8"/>
        <v>19694.76</v>
      </c>
      <c r="CU67" s="1872">
        <f t="shared" si="9"/>
        <v>3</v>
      </c>
      <c r="CV67" s="1872">
        <f t="shared" si="10"/>
        <v>82</v>
      </c>
      <c r="CW67" s="1872">
        <f t="shared" si="11"/>
        <v>20349.63</v>
      </c>
    </row>
    <row r="68" spans="3:10" ht="16.5">
      <c r="C68" s="1825"/>
      <c r="E68" s="1825"/>
      <c r="F68" s="1825"/>
      <c r="G68" s="1825"/>
      <c r="I68" s="1825"/>
      <c r="J68" s="1825"/>
    </row>
    <row r="69" spans="3:10" ht="16.5">
      <c r="C69" s="1825"/>
      <c r="E69" s="1825"/>
      <c r="F69" s="1825"/>
      <c r="G69" s="1825"/>
      <c r="I69" s="1825"/>
      <c r="J69" s="1825"/>
    </row>
    <row r="70" spans="3:10" ht="16.5">
      <c r="C70" s="1826"/>
      <c r="E70" s="1826"/>
      <c r="F70" s="1825"/>
      <c r="G70" s="1825"/>
      <c r="I70" s="1825"/>
      <c r="J70" s="1825"/>
    </row>
    <row r="71" spans="3:10" ht="16.5">
      <c r="C71" s="1825"/>
      <c r="E71" s="1826"/>
      <c r="F71" s="1825"/>
      <c r="G71" s="1825"/>
      <c r="I71" s="1825"/>
      <c r="J71" s="1825"/>
    </row>
    <row r="72" spans="3:10" ht="16.5">
      <c r="C72" s="1826"/>
      <c r="E72" s="1826"/>
      <c r="F72" s="1826"/>
      <c r="H72" s="1826"/>
      <c r="I72" s="1826"/>
      <c r="J72" s="1826"/>
    </row>
    <row r="73" spans="3:10" ht="16.5">
      <c r="C73" s="1825"/>
      <c r="E73" s="1826"/>
      <c r="F73" s="1825"/>
      <c r="G73" s="1825"/>
      <c r="I73" s="1825"/>
      <c r="J73" s="1825"/>
    </row>
    <row r="75" spans="3:10" ht="16.5">
      <c r="C75" s="1825"/>
      <c r="E75" s="1825"/>
      <c r="G75" s="1825"/>
      <c r="I75" s="1825"/>
      <c r="J75" s="1826"/>
    </row>
    <row r="76" spans="3:10" ht="16.5">
      <c r="C76" s="1826"/>
      <c r="E76" s="1826"/>
      <c r="G76" s="1825"/>
      <c r="I76" s="1825"/>
      <c r="J76" s="1826"/>
    </row>
    <row r="78" spans="3:10" ht="16.5">
      <c r="C78" s="1825"/>
      <c r="E78" s="1826"/>
      <c r="F78" s="1826"/>
      <c r="H78" s="1826"/>
      <c r="I78" s="1826"/>
      <c r="J78" s="1826"/>
    </row>
    <row r="79" spans="3:10" ht="16.5">
      <c r="C79" s="1826"/>
      <c r="E79" s="1826"/>
      <c r="F79" s="1826"/>
      <c r="H79" s="1826"/>
      <c r="I79" s="1826"/>
      <c r="J79" s="1826"/>
    </row>
    <row r="80" spans="3:10" ht="16.5">
      <c r="C80" s="1826"/>
      <c r="E80" s="1826"/>
      <c r="F80" s="1826"/>
      <c r="H80" s="1826"/>
      <c r="I80" s="1826"/>
      <c r="J80" s="1826"/>
    </row>
    <row r="81" spans="3:10" ht="16.5">
      <c r="C81" s="1826"/>
      <c r="E81" s="1826"/>
      <c r="F81" s="1826"/>
      <c r="H81" s="1826"/>
      <c r="I81" s="1826"/>
      <c r="J81" s="1826"/>
    </row>
    <row r="82" spans="3:10" ht="16.5">
      <c r="C82" s="1826"/>
      <c r="E82" s="1826"/>
      <c r="F82" s="1826"/>
      <c r="H82" s="1826"/>
      <c r="I82" s="1826"/>
      <c r="J82" s="1826"/>
    </row>
    <row r="85" spans="3:10" ht="16.5">
      <c r="C85" s="1826"/>
      <c r="E85" s="1826"/>
      <c r="F85" s="1826"/>
      <c r="H85" s="1826"/>
      <c r="I85" s="1826"/>
      <c r="J85" s="1825"/>
    </row>
    <row r="86" spans="3:10" ht="16.5">
      <c r="C86" s="1826"/>
      <c r="E86" s="1825"/>
      <c r="F86" s="1826"/>
      <c r="H86" s="1826"/>
      <c r="I86" s="1826"/>
      <c r="J86" s="1826"/>
    </row>
    <row r="87" spans="3:10" ht="16.5">
      <c r="C87" s="1826"/>
      <c r="E87" s="1825"/>
      <c r="F87" s="1825"/>
      <c r="H87" s="1826"/>
      <c r="I87" s="1825"/>
      <c r="J87" s="1825"/>
    </row>
    <row r="88" spans="3:10" ht="16.5">
      <c r="C88" s="1826"/>
      <c r="E88" s="1826"/>
      <c r="F88" s="1825"/>
      <c r="H88" s="1826"/>
      <c r="I88" s="1825"/>
      <c r="J88" s="1825"/>
    </row>
    <row r="89" spans="3:10" ht="16.5">
      <c r="C89" s="1826"/>
      <c r="E89" s="1826"/>
      <c r="F89" s="1826"/>
      <c r="H89" s="1826"/>
      <c r="I89" s="1826"/>
      <c r="J89" s="1826"/>
    </row>
    <row r="90" spans="3:10" ht="16.5">
      <c r="C90" s="1826"/>
      <c r="E90" s="1826"/>
      <c r="F90" s="1826"/>
      <c r="H90" s="1826"/>
      <c r="I90" s="1826"/>
      <c r="J90" s="1826"/>
    </row>
    <row r="91" spans="3:10" ht="16.5">
      <c r="C91" s="1826"/>
      <c r="E91" s="1826"/>
      <c r="F91" s="1825"/>
      <c r="H91" s="1826"/>
      <c r="I91" s="1825"/>
      <c r="J91" s="1825"/>
    </row>
    <row r="93" spans="3:10" ht="16.5">
      <c r="C93" s="1826"/>
      <c r="E93" s="1826"/>
      <c r="F93" s="1826"/>
      <c r="H93" s="1826"/>
      <c r="I93" s="1826"/>
      <c r="J93" s="1826"/>
    </row>
    <row r="94" spans="3:10" ht="16.5">
      <c r="C94" s="1826"/>
      <c r="E94" s="1826"/>
      <c r="F94" s="1826"/>
      <c r="H94" s="1826"/>
      <c r="I94" s="1826"/>
      <c r="J94" s="1826"/>
    </row>
    <row r="95" spans="3:10" ht="16.5">
      <c r="C95" s="1826"/>
      <c r="E95" s="1826"/>
      <c r="F95" s="1826"/>
      <c r="H95" s="1826"/>
      <c r="I95" s="1826"/>
      <c r="J95" s="1826"/>
    </row>
    <row r="96" spans="3:10" ht="16.5">
      <c r="C96" s="1826"/>
      <c r="E96" s="1826"/>
      <c r="F96" s="1826"/>
      <c r="H96" s="1826"/>
      <c r="I96" s="1826"/>
      <c r="J96" s="1826"/>
    </row>
    <row r="97" spans="3:10" ht="16.5">
      <c r="C97" s="1826"/>
      <c r="E97" s="1826"/>
      <c r="F97" s="1826"/>
      <c r="H97" s="1826"/>
      <c r="I97" s="1826"/>
      <c r="J97" s="1826"/>
    </row>
    <row r="98" spans="3:10" ht="16.5">
      <c r="C98" s="1826"/>
      <c r="E98" s="1826"/>
      <c r="F98" s="1826"/>
      <c r="H98" s="1826"/>
      <c r="I98" s="1826"/>
      <c r="J98" s="1826"/>
    </row>
    <row r="99" spans="3:10" ht="16.5">
      <c r="C99" s="1826"/>
      <c r="E99" s="1826"/>
      <c r="F99" s="1826"/>
      <c r="H99" s="1826"/>
      <c r="I99" s="1826"/>
      <c r="J99" s="1826"/>
    </row>
    <row r="102" spans="3:10" ht="16.5">
      <c r="C102" s="1827"/>
      <c r="E102" s="1827"/>
      <c r="G102" s="1827"/>
      <c r="I102" s="1827"/>
      <c r="J102" s="1827"/>
    </row>
    <row r="103" spans="3:10" ht="16.5">
      <c r="C103" s="1825"/>
      <c r="E103" s="1825"/>
      <c r="G103" s="1827"/>
      <c r="I103" s="1827"/>
      <c r="J103" s="1827"/>
    </row>
    <row r="104" spans="3:10" ht="16.5">
      <c r="C104" s="1827"/>
      <c r="E104" s="1827"/>
      <c r="G104" s="1827"/>
      <c r="I104" s="1827"/>
      <c r="J104" s="1827"/>
    </row>
    <row r="105" spans="3:10" ht="16.5">
      <c r="C105" s="1825"/>
      <c r="E105" s="1825"/>
      <c r="G105" s="1827"/>
      <c r="I105" s="1827"/>
      <c r="J105" s="1827"/>
    </row>
    <row r="106" spans="3:10" ht="16.5">
      <c r="C106" s="1825"/>
      <c r="E106" s="1825"/>
      <c r="G106" s="1827"/>
      <c r="I106" s="1827"/>
      <c r="J106" s="1827"/>
    </row>
    <row r="107" spans="3:10" ht="16.5">
      <c r="C107" s="1825"/>
      <c r="E107" s="1825"/>
      <c r="F107" s="1825"/>
      <c r="G107" s="1825"/>
      <c r="I107" s="1825"/>
      <c r="J107" s="1827"/>
    </row>
    <row r="108" spans="3:10" ht="16.5">
      <c r="C108" s="1825"/>
      <c r="E108" s="1825"/>
      <c r="G108" s="1827"/>
      <c r="I108" s="1827"/>
      <c r="J108" s="1827"/>
    </row>
    <row r="111" spans="3:10" ht="16.5">
      <c r="C111" s="1826"/>
      <c r="E111" s="1826"/>
      <c r="F111" s="1826"/>
      <c r="H111" s="1826"/>
      <c r="I111" s="1826"/>
      <c r="J111" s="1826"/>
    </row>
    <row r="112" spans="3:10" ht="16.5">
      <c r="C112" s="1826"/>
      <c r="E112" s="1826"/>
      <c r="F112" s="1826"/>
      <c r="H112" s="1826"/>
      <c r="I112" s="1826"/>
      <c r="J112" s="1826"/>
    </row>
    <row r="113" spans="3:10" ht="16.5">
      <c r="C113" s="1826"/>
      <c r="E113" s="1826"/>
      <c r="F113" s="1826"/>
      <c r="H113" s="1826"/>
      <c r="I113" s="1826"/>
      <c r="J113" s="1826"/>
    </row>
    <row r="114" spans="3:10" ht="16.5">
      <c r="C114" s="1826"/>
      <c r="E114" s="1826"/>
      <c r="F114" s="1826"/>
      <c r="H114" s="1826"/>
      <c r="I114" s="1826"/>
      <c r="J114" s="1826"/>
    </row>
    <row r="115" spans="3:10" ht="16.5">
      <c r="C115" s="1826"/>
      <c r="E115" s="1826"/>
      <c r="F115" s="1826"/>
      <c r="H115" s="1826"/>
      <c r="I115" s="1826"/>
      <c r="J115" s="1826"/>
    </row>
    <row r="116" spans="3:10" ht="16.5">
      <c r="C116" s="1826"/>
      <c r="E116" s="1826"/>
      <c r="F116" s="1826"/>
      <c r="H116" s="1826"/>
      <c r="I116" s="1826"/>
      <c r="J116" s="1826"/>
    </row>
    <row r="117" spans="3:10" ht="16.5">
      <c r="C117" s="1826"/>
      <c r="E117" s="1826"/>
      <c r="F117" s="1826"/>
      <c r="H117" s="1826"/>
      <c r="I117" s="1826"/>
      <c r="J117" s="1826"/>
    </row>
    <row r="120" spans="2:10" ht="16.5">
      <c r="B120" s="1825"/>
      <c r="C120" s="1826"/>
      <c r="E120" s="1827"/>
      <c r="F120" s="1825"/>
      <c r="G120" s="1825"/>
      <c r="I120" s="1827"/>
      <c r="J120" s="1827"/>
    </row>
    <row r="121" spans="3:10" ht="16.5">
      <c r="C121" s="1826"/>
      <c r="E121" s="1827"/>
      <c r="G121" s="1825"/>
      <c r="I121" s="1827"/>
      <c r="J121" s="1827"/>
    </row>
    <row r="122" spans="3:10" ht="16.5">
      <c r="C122" s="1826"/>
      <c r="E122" s="1825"/>
      <c r="G122" s="1825"/>
      <c r="I122" s="1827"/>
      <c r="J122" s="1827"/>
    </row>
    <row r="123" spans="3:10" ht="16.5">
      <c r="C123" s="1826"/>
      <c r="E123" s="1825"/>
      <c r="F123" s="1825"/>
      <c r="G123" s="1825"/>
      <c r="I123" s="1827"/>
      <c r="J123" s="1827"/>
    </row>
    <row r="124" spans="3:10" ht="16.5">
      <c r="C124" s="1826"/>
      <c r="E124" s="1827"/>
      <c r="F124" s="1825"/>
      <c r="G124" s="1825"/>
      <c r="I124" s="1827"/>
      <c r="J124" s="1827"/>
    </row>
    <row r="125" spans="3:10" ht="16.5">
      <c r="C125" s="1826"/>
      <c r="E125" s="1825"/>
      <c r="F125" s="1825"/>
      <c r="G125" s="1825"/>
      <c r="I125" s="1827"/>
      <c r="J125" s="1827"/>
    </row>
    <row r="126" spans="3:10" ht="16.5">
      <c r="C126" s="1825"/>
      <c r="E126" s="1827"/>
      <c r="G126" s="1825"/>
      <c r="I126" s="1827"/>
      <c r="J126" s="1827"/>
    </row>
    <row r="128" spans="3:10" ht="16.5">
      <c r="C128" s="1826"/>
      <c r="E128" s="1826"/>
      <c r="F128" s="1826"/>
      <c r="H128" s="1826"/>
      <c r="I128" s="1826"/>
      <c r="J128" s="1826"/>
    </row>
    <row r="129" spans="3:10" ht="16.5">
      <c r="C129" s="1826"/>
      <c r="E129" s="1826"/>
      <c r="F129" s="1826"/>
      <c r="H129" s="1826"/>
      <c r="I129" s="1826"/>
      <c r="J129" s="1826"/>
    </row>
    <row r="130" spans="3:10" ht="16.5">
      <c r="C130" s="1826"/>
      <c r="E130" s="1826"/>
      <c r="F130" s="1826"/>
      <c r="H130" s="1826"/>
      <c r="I130" s="1826"/>
      <c r="J130" s="1826"/>
    </row>
    <row r="131" spans="3:10" ht="16.5">
      <c r="C131" s="1826"/>
      <c r="E131" s="1826"/>
      <c r="F131" s="1826"/>
      <c r="H131" s="1826"/>
      <c r="I131" s="1826"/>
      <c r="J131" s="1826"/>
    </row>
    <row r="132" spans="3:10" ht="16.5">
      <c r="C132" s="1826"/>
      <c r="E132" s="1826"/>
      <c r="F132" s="1826"/>
      <c r="H132" s="1826"/>
      <c r="I132" s="1826"/>
      <c r="J132" s="1826"/>
    </row>
    <row r="133" spans="3:10" ht="16.5">
      <c r="C133" s="1826"/>
      <c r="E133" s="1826"/>
      <c r="F133" s="1826"/>
      <c r="H133" s="1826"/>
      <c r="I133" s="1826"/>
      <c r="J133" s="1826"/>
    </row>
    <row r="134" spans="3:10" ht="16.5">
      <c r="C134" s="1826"/>
      <c r="E134" s="1826"/>
      <c r="F134" s="1826"/>
      <c r="H134" s="1826"/>
      <c r="I134" s="1826"/>
      <c r="J134" s="1826"/>
    </row>
    <row r="138" spans="1:10" ht="16.5">
      <c r="A138" s="1823"/>
      <c r="J138" s="1828"/>
    </row>
    <row r="203" ht="16.5">
      <c r="A203" s="1823" t="s">
        <v>573</v>
      </c>
    </row>
  </sheetData>
  <sheetProtection/>
  <mergeCells count="25"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CT2:CW2"/>
    <mergeCell ref="BV2:BY2"/>
    <mergeCell ref="BZ2:CC2"/>
    <mergeCell ref="CD2:CG2"/>
    <mergeCell ref="CH2:CK2"/>
    <mergeCell ref="CL2:CO2"/>
    <mergeCell ref="CP2:CS2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DA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P5" sqref="BP5:BQ11"/>
    </sheetView>
  </sheetViews>
  <sheetFormatPr defaultColWidth="9.140625" defaultRowHeight="15"/>
  <cols>
    <col min="1" max="1" width="23.7109375" style="122" bestFit="1" customWidth="1"/>
    <col min="2" max="3" width="11.421875" style="122" bestFit="1" customWidth="1"/>
    <col min="4" max="5" width="12.421875" style="122" bestFit="1" customWidth="1"/>
    <col min="6" max="7" width="11.421875" style="122" bestFit="1" customWidth="1"/>
    <col min="8" max="9" width="12.421875" style="122" bestFit="1" customWidth="1"/>
    <col min="10" max="11" width="11.421875" style="122" bestFit="1" customWidth="1"/>
    <col min="12" max="13" width="12.421875" style="122" bestFit="1" customWidth="1"/>
    <col min="14" max="15" width="11.421875" style="122" bestFit="1" customWidth="1"/>
    <col min="16" max="17" width="12.421875" style="122" bestFit="1" customWidth="1"/>
    <col min="18" max="19" width="11.421875" style="122" bestFit="1" customWidth="1"/>
    <col min="20" max="21" width="12.421875" style="122" bestFit="1" customWidth="1"/>
    <col min="22" max="23" width="11.421875" style="122" bestFit="1" customWidth="1"/>
    <col min="24" max="25" width="12.421875" style="122" bestFit="1" customWidth="1"/>
    <col min="26" max="27" width="11.421875" style="122" bestFit="1" customWidth="1"/>
    <col min="28" max="29" width="12.421875" style="122" bestFit="1" customWidth="1"/>
    <col min="30" max="31" width="11.421875" style="122" bestFit="1" customWidth="1"/>
    <col min="32" max="33" width="12.421875" style="122" bestFit="1" customWidth="1"/>
    <col min="34" max="35" width="11.421875" style="122" bestFit="1" customWidth="1"/>
    <col min="36" max="37" width="12.421875" style="122" bestFit="1" customWidth="1"/>
    <col min="38" max="38" width="8.57421875" style="122" customWidth="1"/>
    <col min="39" max="39" width="9.8515625" style="122" customWidth="1"/>
    <col min="40" max="40" width="10.28125" style="122" customWidth="1"/>
    <col min="41" max="41" width="10.7109375" style="122" customWidth="1"/>
    <col min="42" max="43" width="11.421875" style="122" bestFit="1" customWidth="1"/>
    <col min="44" max="45" width="12.421875" style="122" bestFit="1" customWidth="1"/>
    <col min="46" max="47" width="11.421875" style="122" bestFit="1" customWidth="1"/>
    <col min="48" max="49" width="12.421875" style="122" bestFit="1" customWidth="1"/>
    <col min="50" max="51" width="11.421875" style="122" bestFit="1" customWidth="1"/>
    <col min="52" max="53" width="12.421875" style="122" bestFit="1" customWidth="1"/>
    <col min="54" max="54" width="11.421875" style="122" bestFit="1" customWidth="1"/>
    <col min="55" max="55" width="13.7109375" style="122" customWidth="1"/>
    <col min="56" max="57" width="12.421875" style="122" bestFit="1" customWidth="1"/>
    <col min="58" max="59" width="11.421875" style="122" bestFit="1" customWidth="1"/>
    <col min="60" max="61" width="12.421875" style="122" bestFit="1" customWidth="1"/>
    <col min="62" max="63" width="11.421875" style="122" bestFit="1" customWidth="1"/>
    <col min="64" max="65" width="12.421875" style="122" bestFit="1" customWidth="1"/>
    <col min="66" max="67" width="11.421875" style="122" bestFit="1" customWidth="1"/>
    <col min="68" max="69" width="12.421875" style="122" bestFit="1" customWidth="1"/>
    <col min="70" max="71" width="11.421875" style="122" bestFit="1" customWidth="1"/>
    <col min="72" max="73" width="12.421875" style="122" bestFit="1" customWidth="1"/>
    <col min="74" max="75" width="11.421875" style="122" bestFit="1" customWidth="1"/>
    <col min="76" max="77" width="12.421875" style="122" bestFit="1" customWidth="1"/>
    <col min="78" max="79" width="11.421875" style="122" bestFit="1" customWidth="1"/>
    <col min="80" max="81" width="12.421875" style="122" bestFit="1" customWidth="1"/>
    <col min="82" max="83" width="11.421875" style="122" bestFit="1" customWidth="1"/>
    <col min="84" max="85" width="12.421875" style="122" bestFit="1" customWidth="1"/>
    <col min="86" max="87" width="11.421875" style="122" bestFit="1" customWidth="1"/>
    <col min="88" max="89" width="12.421875" style="122" bestFit="1" customWidth="1"/>
    <col min="90" max="91" width="11.421875" style="122" bestFit="1" customWidth="1"/>
    <col min="92" max="93" width="12.421875" style="122" bestFit="1" customWidth="1"/>
    <col min="94" max="95" width="11.421875" style="122" bestFit="1" customWidth="1"/>
    <col min="96" max="97" width="12.421875" style="122" bestFit="1" customWidth="1"/>
    <col min="98" max="99" width="11.421875" style="122" bestFit="1" customWidth="1"/>
    <col min="100" max="101" width="12.421875" style="122" bestFit="1" customWidth="1"/>
    <col min="102" max="103" width="11.421875" style="122" bestFit="1" customWidth="1"/>
    <col min="104" max="105" width="12.421875" style="122" bestFit="1" customWidth="1"/>
    <col min="106" max="16384" width="9.140625" style="122" customWidth="1"/>
  </cols>
  <sheetData>
    <row r="1" spans="1:103" ht="13.5">
      <c r="A1" s="2042" t="s">
        <v>413</v>
      </c>
      <c r="B1" s="2042"/>
      <c r="C1" s="2042"/>
      <c r="D1" s="2042"/>
      <c r="E1" s="2042"/>
      <c r="F1" s="2042"/>
      <c r="G1" s="2042"/>
      <c r="H1" s="2042"/>
      <c r="I1" s="2042"/>
      <c r="J1" s="2042"/>
      <c r="K1" s="2042"/>
      <c r="L1" s="2042"/>
      <c r="M1" s="2042"/>
      <c r="N1" s="2042"/>
      <c r="O1" s="2042"/>
      <c r="P1" s="2042"/>
      <c r="Q1" s="2042"/>
      <c r="R1" s="2042"/>
      <c r="S1" s="2042"/>
      <c r="T1" s="2042"/>
      <c r="U1" s="2042"/>
      <c r="V1" s="2042"/>
      <c r="W1" s="2042"/>
      <c r="X1" s="2042"/>
      <c r="Y1" s="2042"/>
      <c r="Z1" s="2042"/>
      <c r="AA1" s="2042"/>
      <c r="AB1" s="2042"/>
      <c r="AC1" s="2042"/>
      <c r="AD1" s="2042"/>
      <c r="AE1" s="2042"/>
      <c r="AF1" s="2042"/>
      <c r="AG1" s="2042"/>
      <c r="AH1" s="2042"/>
      <c r="AI1" s="2042"/>
      <c r="AJ1" s="2042"/>
      <c r="AK1" s="2042"/>
      <c r="AL1" s="2042"/>
      <c r="AM1" s="2042"/>
      <c r="AN1" s="2042"/>
      <c r="AO1" s="2042"/>
      <c r="AP1" s="2042"/>
      <c r="AQ1" s="2042"/>
      <c r="AR1" s="2042"/>
      <c r="AS1" s="2042"/>
      <c r="AT1" s="2042"/>
      <c r="AU1" s="2042"/>
      <c r="AV1" s="2042"/>
      <c r="AW1" s="2042"/>
      <c r="AX1" s="2042"/>
      <c r="AY1" s="2042"/>
      <c r="AZ1" s="2042"/>
      <c r="BA1" s="2042"/>
      <c r="BB1" s="2042"/>
      <c r="BC1" s="2042"/>
      <c r="BD1" s="2042"/>
      <c r="BE1" s="2042"/>
      <c r="BF1" s="2042"/>
      <c r="BG1" s="2042"/>
      <c r="BH1" s="2042"/>
      <c r="BI1" s="2042"/>
      <c r="BJ1" s="2042"/>
      <c r="BK1" s="2042"/>
      <c r="BL1" s="2042"/>
      <c r="BM1" s="2042"/>
      <c r="BN1" s="2042"/>
      <c r="BO1" s="2042"/>
      <c r="BP1" s="2042"/>
      <c r="BQ1" s="2042"/>
      <c r="BR1" s="2042"/>
      <c r="BS1" s="2042"/>
      <c r="BT1" s="2042"/>
      <c r="BU1" s="2042"/>
      <c r="BV1" s="2042"/>
      <c r="BW1" s="2042"/>
      <c r="BX1" s="2042"/>
      <c r="BY1" s="2042"/>
      <c r="BZ1" s="2042"/>
      <c r="CA1" s="2042"/>
      <c r="CB1" s="2042"/>
      <c r="CC1" s="2042"/>
      <c r="CD1" s="2042"/>
      <c r="CE1" s="2042"/>
      <c r="CF1" s="2042"/>
      <c r="CG1" s="2042"/>
      <c r="CH1" s="2042"/>
      <c r="CI1" s="2042"/>
      <c r="CJ1" s="2042"/>
      <c r="CK1" s="2042"/>
      <c r="CL1" s="2042"/>
      <c r="CM1" s="2042"/>
      <c r="CN1" s="2042"/>
      <c r="CO1" s="2042"/>
      <c r="CP1" s="2042"/>
      <c r="CQ1" s="2042"/>
      <c r="CR1" s="2042"/>
      <c r="CS1" s="2042"/>
      <c r="CT1" s="2042"/>
      <c r="CU1" s="2042"/>
      <c r="CV1" s="2042"/>
      <c r="CW1" s="2042"/>
      <c r="CX1" s="2042"/>
      <c r="CY1" s="2042"/>
    </row>
    <row r="2" spans="1:103" ht="14.25" thickBot="1">
      <c r="A2" s="1917" t="s">
        <v>185</v>
      </c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X2" s="1917"/>
      <c r="Y2" s="1917"/>
      <c r="Z2" s="1917"/>
      <c r="AA2" s="1917"/>
      <c r="AB2" s="1917"/>
      <c r="AC2" s="1917"/>
      <c r="AD2" s="1917"/>
      <c r="AE2" s="1917"/>
      <c r="AF2" s="1917"/>
      <c r="AG2" s="1917"/>
      <c r="AH2" s="1917"/>
      <c r="AI2" s="1917"/>
      <c r="AJ2" s="1917"/>
      <c r="AK2" s="1917"/>
      <c r="AL2" s="1917"/>
      <c r="AM2" s="1917"/>
      <c r="AN2" s="1917"/>
      <c r="AO2" s="1917"/>
      <c r="AP2" s="1917"/>
      <c r="AQ2" s="1917"/>
      <c r="AR2" s="1917"/>
      <c r="AS2" s="1917"/>
      <c r="AT2" s="1917"/>
      <c r="AU2" s="1917"/>
      <c r="AV2" s="1917"/>
      <c r="AW2" s="1917"/>
      <c r="AX2" s="1917"/>
      <c r="AY2" s="1917"/>
      <c r="AZ2" s="1917"/>
      <c r="BA2" s="1917"/>
      <c r="BB2" s="1917"/>
      <c r="BC2" s="1917"/>
      <c r="BD2" s="1917"/>
      <c r="BE2" s="1917"/>
      <c r="BF2" s="1917"/>
      <c r="BG2" s="1917"/>
      <c r="BH2" s="1917"/>
      <c r="BI2" s="1917"/>
      <c r="BJ2" s="1917"/>
      <c r="BK2" s="1917"/>
      <c r="BL2" s="1917"/>
      <c r="BM2" s="1917"/>
      <c r="BN2" s="1917"/>
      <c r="BO2" s="1917"/>
      <c r="BP2" s="1917"/>
      <c r="BQ2" s="1917"/>
      <c r="BR2" s="1917"/>
      <c r="BS2" s="1917"/>
      <c r="BT2" s="1917"/>
      <c r="BU2" s="1917"/>
      <c r="BV2" s="1917"/>
      <c r="BW2" s="1917"/>
      <c r="BX2" s="1917"/>
      <c r="BY2" s="1917"/>
      <c r="BZ2" s="1917"/>
      <c r="CA2" s="1917"/>
      <c r="CB2" s="1917"/>
      <c r="CC2" s="1917"/>
      <c r="CD2" s="1917"/>
      <c r="CE2" s="1917"/>
      <c r="CF2" s="1917"/>
      <c r="CG2" s="1917"/>
      <c r="CH2" s="1917"/>
      <c r="CI2" s="1917"/>
      <c r="CJ2" s="1917"/>
      <c r="CK2" s="1917"/>
      <c r="CL2" s="1917"/>
      <c r="CM2" s="1917"/>
      <c r="CN2" s="1917"/>
      <c r="CO2" s="1917"/>
      <c r="CP2" s="1917"/>
      <c r="CQ2" s="1917"/>
      <c r="CR2" s="1917"/>
      <c r="CS2" s="1917"/>
      <c r="CT2" s="1917"/>
      <c r="CU2" s="1917"/>
      <c r="CV2" s="1917"/>
      <c r="CW2" s="1917"/>
      <c r="CX2" s="1917"/>
      <c r="CY2" s="1917"/>
    </row>
    <row r="3" spans="1:105" s="942" customFormat="1" ht="14.25" thickBot="1">
      <c r="A3" s="2082" t="s">
        <v>0</v>
      </c>
      <c r="B3" s="2084" t="s">
        <v>187</v>
      </c>
      <c r="C3" s="2085"/>
      <c r="D3" s="2085"/>
      <c r="E3" s="2086"/>
      <c r="F3" s="2074" t="s">
        <v>188</v>
      </c>
      <c r="G3" s="2074"/>
      <c r="H3" s="2074"/>
      <c r="I3" s="2074"/>
      <c r="J3" s="2073" t="s">
        <v>189</v>
      </c>
      <c r="K3" s="2074"/>
      <c r="L3" s="2074"/>
      <c r="M3" s="2075"/>
      <c r="N3" s="2087" t="s">
        <v>190</v>
      </c>
      <c r="O3" s="2088"/>
      <c r="P3" s="2088"/>
      <c r="Q3" s="2089"/>
      <c r="R3" s="2074" t="s">
        <v>191</v>
      </c>
      <c r="S3" s="2074"/>
      <c r="T3" s="2074"/>
      <c r="U3" s="2074"/>
      <c r="V3" s="2073" t="s">
        <v>192</v>
      </c>
      <c r="W3" s="2074"/>
      <c r="X3" s="2074"/>
      <c r="Y3" s="2075"/>
      <c r="Z3" s="2090" t="s">
        <v>193</v>
      </c>
      <c r="AA3" s="2091"/>
      <c r="AB3" s="2091"/>
      <c r="AC3" s="2093"/>
      <c r="AD3" s="2090" t="s">
        <v>194</v>
      </c>
      <c r="AE3" s="2091"/>
      <c r="AF3" s="2091"/>
      <c r="AG3" s="2092"/>
      <c r="AH3" s="2090" t="s">
        <v>195</v>
      </c>
      <c r="AI3" s="2091"/>
      <c r="AJ3" s="2091"/>
      <c r="AK3" s="2092"/>
      <c r="AL3" s="2074" t="s">
        <v>196</v>
      </c>
      <c r="AM3" s="2074"/>
      <c r="AN3" s="2074"/>
      <c r="AO3" s="2074"/>
      <c r="AP3" s="2073" t="s">
        <v>197</v>
      </c>
      <c r="AQ3" s="2074"/>
      <c r="AR3" s="2074"/>
      <c r="AS3" s="2075"/>
      <c r="AT3" s="2073" t="s">
        <v>198</v>
      </c>
      <c r="AU3" s="2074"/>
      <c r="AV3" s="2074"/>
      <c r="AW3" s="2075"/>
      <c r="AX3" s="2073" t="s">
        <v>199</v>
      </c>
      <c r="AY3" s="2074"/>
      <c r="AZ3" s="2074"/>
      <c r="BA3" s="2075"/>
      <c r="BB3" s="2090" t="s">
        <v>200</v>
      </c>
      <c r="BC3" s="2091"/>
      <c r="BD3" s="2091"/>
      <c r="BE3" s="2092"/>
      <c r="BF3" s="2080" t="s">
        <v>201</v>
      </c>
      <c r="BG3" s="2080"/>
      <c r="BH3" s="2080"/>
      <c r="BI3" s="2080"/>
      <c r="BJ3" s="2073" t="s">
        <v>202</v>
      </c>
      <c r="BK3" s="2074"/>
      <c r="BL3" s="2074"/>
      <c r="BM3" s="2075"/>
      <c r="BN3" s="2073" t="s">
        <v>203</v>
      </c>
      <c r="BO3" s="2074"/>
      <c r="BP3" s="2074"/>
      <c r="BQ3" s="2075"/>
      <c r="BR3" s="2073" t="s">
        <v>204</v>
      </c>
      <c r="BS3" s="2074"/>
      <c r="BT3" s="2074"/>
      <c r="BU3" s="2075"/>
      <c r="BV3" s="2079" t="s">
        <v>205</v>
      </c>
      <c r="BW3" s="2080"/>
      <c r="BX3" s="2080"/>
      <c r="BY3" s="2081"/>
      <c r="BZ3" s="2073" t="s">
        <v>206</v>
      </c>
      <c r="CA3" s="2074"/>
      <c r="CB3" s="2074"/>
      <c r="CC3" s="2075"/>
      <c r="CD3" s="2073" t="s">
        <v>207</v>
      </c>
      <c r="CE3" s="2074"/>
      <c r="CF3" s="2074"/>
      <c r="CG3" s="2075"/>
      <c r="CH3" s="2073" t="s">
        <v>208</v>
      </c>
      <c r="CI3" s="2074"/>
      <c r="CJ3" s="2074"/>
      <c r="CK3" s="2075"/>
      <c r="CL3" s="2074" t="s">
        <v>209</v>
      </c>
      <c r="CM3" s="2074"/>
      <c r="CN3" s="2074"/>
      <c r="CO3" s="2075"/>
      <c r="CP3" s="2073" t="s">
        <v>1</v>
      </c>
      <c r="CQ3" s="2074"/>
      <c r="CR3" s="2074"/>
      <c r="CS3" s="2075"/>
      <c r="CT3" s="2079" t="s">
        <v>210</v>
      </c>
      <c r="CU3" s="2080"/>
      <c r="CV3" s="2080"/>
      <c r="CW3" s="2081"/>
      <c r="CX3" s="2076" t="s">
        <v>2</v>
      </c>
      <c r="CY3" s="2077"/>
      <c r="CZ3" s="2077"/>
      <c r="DA3" s="2078"/>
    </row>
    <row r="4" spans="1:105" s="710" customFormat="1" ht="15" thickBot="1">
      <c r="A4" s="2083"/>
      <c r="B4" s="832" t="s">
        <v>440</v>
      </c>
      <c r="C4" s="833" t="s">
        <v>441</v>
      </c>
      <c r="D4" s="833" t="s">
        <v>444</v>
      </c>
      <c r="E4" s="830" t="s">
        <v>445</v>
      </c>
      <c r="F4" s="832" t="s">
        <v>440</v>
      </c>
      <c r="G4" s="833" t="s">
        <v>441</v>
      </c>
      <c r="H4" s="833" t="s">
        <v>444</v>
      </c>
      <c r="I4" s="830" t="s">
        <v>445</v>
      </c>
      <c r="J4" s="832" t="s">
        <v>440</v>
      </c>
      <c r="K4" s="833" t="s">
        <v>441</v>
      </c>
      <c r="L4" s="833" t="s">
        <v>444</v>
      </c>
      <c r="M4" s="830" t="s">
        <v>445</v>
      </c>
      <c r="N4" s="832" t="s">
        <v>440</v>
      </c>
      <c r="O4" s="833" t="s">
        <v>441</v>
      </c>
      <c r="P4" s="833" t="s">
        <v>444</v>
      </c>
      <c r="Q4" s="830" t="s">
        <v>445</v>
      </c>
      <c r="R4" s="832" t="s">
        <v>440</v>
      </c>
      <c r="S4" s="833" t="s">
        <v>441</v>
      </c>
      <c r="T4" s="833" t="s">
        <v>444</v>
      </c>
      <c r="U4" s="830" t="s">
        <v>445</v>
      </c>
      <c r="V4" s="832" t="s">
        <v>440</v>
      </c>
      <c r="W4" s="833" t="s">
        <v>441</v>
      </c>
      <c r="X4" s="833" t="s">
        <v>444</v>
      </c>
      <c r="Y4" s="830" t="s">
        <v>445</v>
      </c>
      <c r="Z4" s="832" t="s">
        <v>440</v>
      </c>
      <c r="AA4" s="833" t="s">
        <v>441</v>
      </c>
      <c r="AB4" s="833" t="s">
        <v>444</v>
      </c>
      <c r="AC4" s="830" t="s">
        <v>445</v>
      </c>
      <c r="AD4" s="832" t="s">
        <v>440</v>
      </c>
      <c r="AE4" s="833" t="s">
        <v>441</v>
      </c>
      <c r="AF4" s="833" t="s">
        <v>444</v>
      </c>
      <c r="AG4" s="830" t="s">
        <v>445</v>
      </c>
      <c r="AH4" s="832" t="s">
        <v>440</v>
      </c>
      <c r="AI4" s="833" t="s">
        <v>441</v>
      </c>
      <c r="AJ4" s="833" t="s">
        <v>444</v>
      </c>
      <c r="AK4" s="830" t="s">
        <v>445</v>
      </c>
      <c r="AL4" s="832" t="s">
        <v>440</v>
      </c>
      <c r="AM4" s="833" t="s">
        <v>441</v>
      </c>
      <c r="AN4" s="833" t="s">
        <v>444</v>
      </c>
      <c r="AO4" s="830" t="s">
        <v>445</v>
      </c>
      <c r="AP4" s="832" t="s">
        <v>440</v>
      </c>
      <c r="AQ4" s="833" t="s">
        <v>441</v>
      </c>
      <c r="AR4" s="833" t="s">
        <v>444</v>
      </c>
      <c r="AS4" s="830" t="s">
        <v>445</v>
      </c>
      <c r="AT4" s="832" t="s">
        <v>440</v>
      </c>
      <c r="AU4" s="833" t="s">
        <v>441</v>
      </c>
      <c r="AV4" s="833" t="s">
        <v>444</v>
      </c>
      <c r="AW4" s="830" t="s">
        <v>445</v>
      </c>
      <c r="AX4" s="832" t="s">
        <v>440</v>
      </c>
      <c r="AY4" s="833" t="s">
        <v>441</v>
      </c>
      <c r="AZ4" s="833" t="s">
        <v>444</v>
      </c>
      <c r="BA4" s="830" t="s">
        <v>445</v>
      </c>
      <c r="BB4" s="832" t="s">
        <v>440</v>
      </c>
      <c r="BC4" s="833" t="s">
        <v>441</v>
      </c>
      <c r="BD4" s="833" t="s">
        <v>444</v>
      </c>
      <c r="BE4" s="830" t="s">
        <v>445</v>
      </c>
      <c r="BF4" s="832" t="s">
        <v>440</v>
      </c>
      <c r="BG4" s="833" t="s">
        <v>441</v>
      </c>
      <c r="BH4" s="833" t="s">
        <v>444</v>
      </c>
      <c r="BI4" s="830" t="s">
        <v>445</v>
      </c>
      <c r="BJ4" s="832" t="s">
        <v>440</v>
      </c>
      <c r="BK4" s="833" t="s">
        <v>441</v>
      </c>
      <c r="BL4" s="833" t="s">
        <v>444</v>
      </c>
      <c r="BM4" s="830" t="s">
        <v>445</v>
      </c>
      <c r="BN4" s="832" t="s">
        <v>440</v>
      </c>
      <c r="BO4" s="833" t="s">
        <v>441</v>
      </c>
      <c r="BP4" s="833" t="s">
        <v>444</v>
      </c>
      <c r="BQ4" s="830" t="s">
        <v>445</v>
      </c>
      <c r="BR4" s="832" t="s">
        <v>440</v>
      </c>
      <c r="BS4" s="833" t="s">
        <v>441</v>
      </c>
      <c r="BT4" s="833" t="s">
        <v>444</v>
      </c>
      <c r="BU4" s="830" t="s">
        <v>445</v>
      </c>
      <c r="BV4" s="832" t="s">
        <v>440</v>
      </c>
      <c r="BW4" s="833" t="s">
        <v>441</v>
      </c>
      <c r="BX4" s="833" t="s">
        <v>444</v>
      </c>
      <c r="BY4" s="830" t="s">
        <v>445</v>
      </c>
      <c r="BZ4" s="800" t="s">
        <v>440</v>
      </c>
      <c r="CA4" s="801" t="s">
        <v>441</v>
      </c>
      <c r="CB4" s="801" t="s">
        <v>444</v>
      </c>
      <c r="CC4" s="802" t="s">
        <v>445</v>
      </c>
      <c r="CD4" s="832" t="s">
        <v>440</v>
      </c>
      <c r="CE4" s="833" t="s">
        <v>441</v>
      </c>
      <c r="CF4" s="833" t="s">
        <v>444</v>
      </c>
      <c r="CG4" s="830" t="s">
        <v>445</v>
      </c>
      <c r="CH4" s="832" t="s">
        <v>440</v>
      </c>
      <c r="CI4" s="833" t="s">
        <v>441</v>
      </c>
      <c r="CJ4" s="833" t="s">
        <v>444</v>
      </c>
      <c r="CK4" s="830" t="s">
        <v>445</v>
      </c>
      <c r="CL4" s="800" t="s">
        <v>440</v>
      </c>
      <c r="CM4" s="801" t="s">
        <v>441</v>
      </c>
      <c r="CN4" s="801" t="s">
        <v>444</v>
      </c>
      <c r="CO4" s="802" t="s">
        <v>445</v>
      </c>
      <c r="CP4" s="832" t="s">
        <v>440</v>
      </c>
      <c r="CQ4" s="833" t="s">
        <v>441</v>
      </c>
      <c r="CR4" s="833" t="s">
        <v>444</v>
      </c>
      <c r="CS4" s="830" t="s">
        <v>445</v>
      </c>
      <c r="CT4" s="832" t="s">
        <v>440</v>
      </c>
      <c r="CU4" s="833" t="s">
        <v>441</v>
      </c>
      <c r="CV4" s="833" t="s">
        <v>444</v>
      </c>
      <c r="CW4" s="830" t="s">
        <v>445</v>
      </c>
      <c r="CX4" s="832" t="s">
        <v>440</v>
      </c>
      <c r="CY4" s="833" t="s">
        <v>441</v>
      </c>
      <c r="CZ4" s="833" t="s">
        <v>444</v>
      </c>
      <c r="DA4" s="830" t="s">
        <v>445</v>
      </c>
    </row>
    <row r="5" spans="1:105" s="126" customFormat="1" ht="15" customHeight="1">
      <c r="A5" s="137" t="s">
        <v>3</v>
      </c>
      <c r="B5" s="530">
        <v>2.43</v>
      </c>
      <c r="C5" s="527">
        <v>8.47</v>
      </c>
      <c r="D5" s="527">
        <f aca="true" t="shared" si="0" ref="D5:E10">B5</f>
        <v>2.43</v>
      </c>
      <c r="E5" s="528">
        <f t="shared" si="0"/>
        <v>8.47</v>
      </c>
      <c r="F5" s="530"/>
      <c r="G5" s="527"/>
      <c r="H5" s="527"/>
      <c r="I5" s="529"/>
      <c r="J5" s="526">
        <v>0.0002</v>
      </c>
      <c r="K5" s="527">
        <v>0.0037</v>
      </c>
      <c r="L5" s="527">
        <f aca="true" t="shared" si="1" ref="L5:M10">J5</f>
        <v>0.0002</v>
      </c>
      <c r="M5" s="528">
        <f t="shared" si="1"/>
        <v>0.0037</v>
      </c>
      <c r="N5" s="526">
        <v>4</v>
      </c>
      <c r="O5" s="527">
        <v>4</v>
      </c>
      <c r="P5" s="527">
        <f aca="true" t="shared" si="2" ref="P5:Q10">N5</f>
        <v>4</v>
      </c>
      <c r="Q5" s="528">
        <f t="shared" si="2"/>
        <v>4</v>
      </c>
      <c r="R5" s="530"/>
      <c r="S5" s="527"/>
      <c r="T5" s="527"/>
      <c r="U5" s="529"/>
      <c r="V5" s="526"/>
      <c r="W5" s="527"/>
      <c r="X5" s="527"/>
      <c r="Y5" s="528"/>
      <c r="Z5" s="526"/>
      <c r="AA5" s="527"/>
      <c r="AB5" s="527"/>
      <c r="AC5" s="529"/>
      <c r="AD5" s="526"/>
      <c r="AE5" s="527"/>
      <c r="AF5" s="527"/>
      <c r="AG5" s="528"/>
      <c r="AH5" s="526"/>
      <c r="AI5" s="527"/>
      <c r="AJ5" s="527"/>
      <c r="AK5" s="528"/>
      <c r="AL5" s="530">
        <v>0.02</v>
      </c>
      <c r="AM5" s="527">
        <v>0.03</v>
      </c>
      <c r="AN5" s="527">
        <f aca="true" t="shared" si="3" ref="AN5:AO10">AL5</f>
        <v>0.02</v>
      </c>
      <c r="AO5" s="529">
        <f t="shared" si="3"/>
        <v>0.03</v>
      </c>
      <c r="AP5" s="526">
        <v>0.19</v>
      </c>
      <c r="AQ5" s="527">
        <v>15.02</v>
      </c>
      <c r="AR5" s="527">
        <f aca="true" t="shared" si="4" ref="AR5:AS10">AP5</f>
        <v>0.19</v>
      </c>
      <c r="AS5" s="528">
        <f t="shared" si="4"/>
        <v>15.02</v>
      </c>
      <c r="AT5" s="526">
        <v>5</v>
      </c>
      <c r="AU5" s="527">
        <v>1</v>
      </c>
      <c r="AV5" s="527">
        <f aca="true" t="shared" si="5" ref="AV5:AW10">AT5</f>
        <v>5</v>
      </c>
      <c r="AW5" s="528">
        <f t="shared" si="5"/>
        <v>1</v>
      </c>
      <c r="AX5" s="526"/>
      <c r="AY5" s="527"/>
      <c r="AZ5" s="527"/>
      <c r="BA5" s="528"/>
      <c r="BB5" s="588"/>
      <c r="BC5" s="640"/>
      <c r="BD5" s="640"/>
      <c r="BE5" s="641"/>
      <c r="BF5" s="530">
        <v>0.03</v>
      </c>
      <c r="BG5" s="527"/>
      <c r="BH5" s="527">
        <f aca="true" t="shared" si="6" ref="BH5:BI10">BF5</f>
        <v>0.03</v>
      </c>
      <c r="BI5" s="529">
        <f t="shared" si="6"/>
        <v>0</v>
      </c>
      <c r="BJ5" s="526">
        <v>0.54</v>
      </c>
      <c r="BK5" s="527">
        <v>0.15</v>
      </c>
      <c r="BL5" s="527">
        <f aca="true" t="shared" si="7" ref="BL5:BM10">BJ5</f>
        <v>0.54</v>
      </c>
      <c r="BM5" s="528">
        <f t="shared" si="7"/>
        <v>0.15</v>
      </c>
      <c r="BN5" s="526">
        <v>0.02</v>
      </c>
      <c r="BO5" s="527">
        <v>0.02</v>
      </c>
      <c r="BP5" s="527">
        <f>BN5</f>
        <v>0.02</v>
      </c>
      <c r="BQ5" s="527">
        <f>BO5</f>
        <v>0.02</v>
      </c>
      <c r="BR5" s="526"/>
      <c r="BS5" s="527"/>
      <c r="BT5" s="527"/>
      <c r="BU5" s="528"/>
      <c r="BV5" s="526"/>
      <c r="BW5" s="527"/>
      <c r="BX5" s="527"/>
      <c r="BY5" s="529"/>
      <c r="BZ5" s="1499">
        <v>15</v>
      </c>
      <c r="CA5" s="1500">
        <v>42</v>
      </c>
      <c r="CB5" s="1500">
        <f aca="true" t="shared" si="8" ref="CB5:CC10">BZ5</f>
        <v>15</v>
      </c>
      <c r="CC5" s="1501">
        <f t="shared" si="8"/>
        <v>42</v>
      </c>
      <c r="CD5" s="530"/>
      <c r="CE5" s="527"/>
      <c r="CF5" s="527"/>
      <c r="CG5" s="528"/>
      <c r="CH5" s="526"/>
      <c r="CI5" s="527"/>
      <c r="CJ5" s="527"/>
      <c r="CK5" s="529"/>
      <c r="CL5" s="1373">
        <v>1.22</v>
      </c>
      <c r="CM5" s="1374">
        <v>2.63</v>
      </c>
      <c r="CN5" s="1471">
        <f aca="true" t="shared" si="9" ref="CN5:CO10">CL5</f>
        <v>1.22</v>
      </c>
      <c r="CO5" s="1472">
        <f t="shared" si="9"/>
        <v>2.63</v>
      </c>
      <c r="CP5" s="1508">
        <f>SUM(B5+F5+J5+N5+R5+V5+Z5+AD5+AH5+AL5+AP5+AT5+AX5+AD5+BF5+BJ5+BN5+BR5+BV5+BZ5+CD5+CH5+B5)</f>
        <v>29.6602</v>
      </c>
      <c r="CQ5" s="1508">
        <f aca="true" t="shared" si="10" ref="CQ5:CS12">SUM(C5+G5+K5+O5+S5+W5+AA5+AE5+AI5+AM5+AQ5+AU5+AY5+AE5+BG5+BK5+BO5+BS5+BW5+CA5+CE5+CI5+C5)</f>
        <v>79.16369999999999</v>
      </c>
      <c r="CR5" s="1508">
        <f t="shared" si="10"/>
        <v>29.6602</v>
      </c>
      <c r="CS5" s="1508">
        <f t="shared" si="10"/>
        <v>79.16369999999999</v>
      </c>
      <c r="CT5" s="526">
        <v>948.82</v>
      </c>
      <c r="CU5" s="527">
        <v>247</v>
      </c>
      <c r="CV5" s="527">
        <f aca="true" t="shared" si="11" ref="CV5:CW10">CT5</f>
        <v>948.82</v>
      </c>
      <c r="CW5" s="528">
        <f t="shared" si="11"/>
        <v>247</v>
      </c>
      <c r="CX5" s="523">
        <f>CP5+CT5</f>
        <v>978.4802000000001</v>
      </c>
      <c r="CY5" s="524">
        <f>CQ5+CU5</f>
        <v>326.1637</v>
      </c>
      <c r="CZ5" s="524">
        <f>CR5+CV5</f>
        <v>978.4802000000001</v>
      </c>
      <c r="DA5" s="525">
        <f>CS5+CW5</f>
        <v>326.1637</v>
      </c>
    </row>
    <row r="6" spans="1:105" s="126" customFormat="1" ht="13.5">
      <c r="A6" s="137" t="s">
        <v>4</v>
      </c>
      <c r="B6" s="45">
        <v>9.02</v>
      </c>
      <c r="C6" s="8">
        <v>8.68</v>
      </c>
      <c r="D6" s="527">
        <f t="shared" si="0"/>
        <v>9.02</v>
      </c>
      <c r="E6" s="528">
        <f t="shared" si="0"/>
        <v>8.68</v>
      </c>
      <c r="F6" s="45"/>
      <c r="G6" s="8"/>
      <c r="H6" s="8"/>
      <c r="I6" s="127"/>
      <c r="J6" s="7"/>
      <c r="K6" s="8"/>
      <c r="L6" s="527">
        <f t="shared" si="1"/>
        <v>0</v>
      </c>
      <c r="M6" s="528">
        <f t="shared" si="1"/>
        <v>0</v>
      </c>
      <c r="N6" s="7">
        <v>142</v>
      </c>
      <c r="O6" s="8">
        <v>49</v>
      </c>
      <c r="P6" s="527">
        <f t="shared" si="2"/>
        <v>142</v>
      </c>
      <c r="Q6" s="528">
        <f t="shared" si="2"/>
        <v>49</v>
      </c>
      <c r="R6" s="45">
        <v>1</v>
      </c>
      <c r="S6" s="8"/>
      <c r="T6" s="8">
        <f aca="true" t="shared" si="12" ref="T6:U10">R6</f>
        <v>1</v>
      </c>
      <c r="U6" s="127">
        <f t="shared" si="12"/>
        <v>0</v>
      </c>
      <c r="V6" s="7">
        <v>75.7</v>
      </c>
      <c r="W6" s="8">
        <v>55.64</v>
      </c>
      <c r="X6" s="8">
        <f aca="true" t="shared" si="13" ref="X6:Y10">V6</f>
        <v>75.7</v>
      </c>
      <c r="Y6" s="9">
        <f t="shared" si="13"/>
        <v>55.64</v>
      </c>
      <c r="Z6" s="7">
        <v>0.05</v>
      </c>
      <c r="AA6" s="8">
        <v>0.16</v>
      </c>
      <c r="AB6" s="8">
        <f aca="true" t="shared" si="14" ref="AB6:AC10">Z6</f>
        <v>0.05</v>
      </c>
      <c r="AC6" s="127">
        <f t="shared" si="14"/>
        <v>0.16</v>
      </c>
      <c r="AD6" s="7"/>
      <c r="AE6" s="8"/>
      <c r="AF6" s="8"/>
      <c r="AG6" s="9"/>
      <c r="AH6" s="7">
        <v>0.05</v>
      </c>
      <c r="AI6" s="8">
        <v>0.01</v>
      </c>
      <c r="AJ6" s="8">
        <f aca="true" t="shared" si="15" ref="AJ6:AK10">AH6</f>
        <v>0.05</v>
      </c>
      <c r="AK6" s="9">
        <f t="shared" si="15"/>
        <v>0.01</v>
      </c>
      <c r="AL6" s="45">
        <v>12.51</v>
      </c>
      <c r="AM6" s="8">
        <v>5.6</v>
      </c>
      <c r="AN6" s="527">
        <f t="shared" si="3"/>
        <v>12.51</v>
      </c>
      <c r="AO6" s="529">
        <f t="shared" si="3"/>
        <v>5.6</v>
      </c>
      <c r="AP6" s="7">
        <v>258.04</v>
      </c>
      <c r="AQ6" s="8">
        <v>181.28</v>
      </c>
      <c r="AR6" s="527">
        <f t="shared" si="4"/>
        <v>258.04</v>
      </c>
      <c r="AS6" s="528">
        <f t="shared" si="4"/>
        <v>181.28</v>
      </c>
      <c r="AT6" s="7">
        <v>141</v>
      </c>
      <c r="AU6" s="8">
        <v>21</v>
      </c>
      <c r="AV6" s="527">
        <f t="shared" si="5"/>
        <v>141</v>
      </c>
      <c r="AW6" s="528">
        <f t="shared" si="5"/>
        <v>21</v>
      </c>
      <c r="AX6" s="118">
        <v>2855.58</v>
      </c>
      <c r="AY6" s="119">
        <v>1658.83</v>
      </c>
      <c r="AZ6" s="119">
        <f aca="true" t="shared" si="16" ref="AZ6:BA10">AX6</f>
        <v>2855.58</v>
      </c>
      <c r="BA6" s="1061">
        <f t="shared" si="16"/>
        <v>1658.83</v>
      </c>
      <c r="BB6" s="587">
        <v>27.58</v>
      </c>
      <c r="BC6" s="638">
        <v>12.98</v>
      </c>
      <c r="BD6" s="638">
        <f aca="true" t="shared" si="17" ref="BD6:BE10">BB6</f>
        <v>27.58</v>
      </c>
      <c r="BE6" s="639">
        <f t="shared" si="17"/>
        <v>12.98</v>
      </c>
      <c r="BF6" s="45">
        <v>45.62</v>
      </c>
      <c r="BG6" s="8">
        <v>5.58</v>
      </c>
      <c r="BH6" s="527">
        <f t="shared" si="6"/>
        <v>45.62</v>
      </c>
      <c r="BI6" s="529">
        <f t="shared" si="6"/>
        <v>5.58</v>
      </c>
      <c r="BJ6" s="7">
        <v>62.34</v>
      </c>
      <c r="BK6" s="8">
        <v>62.31</v>
      </c>
      <c r="BL6" s="527">
        <f t="shared" si="7"/>
        <v>62.34</v>
      </c>
      <c r="BM6" s="528">
        <f t="shared" si="7"/>
        <v>62.31</v>
      </c>
      <c r="BN6" s="7">
        <v>57.99</v>
      </c>
      <c r="BO6" s="8">
        <v>26.7</v>
      </c>
      <c r="BP6" s="527">
        <f aca="true" t="shared" si="18" ref="BP6:BP11">BN6</f>
        <v>57.99</v>
      </c>
      <c r="BQ6" s="527">
        <f aca="true" t="shared" si="19" ref="BQ6:BQ11">BO6</f>
        <v>26.7</v>
      </c>
      <c r="BR6" s="7"/>
      <c r="BS6" s="8"/>
      <c r="BT6" s="8"/>
      <c r="BU6" s="9"/>
      <c r="BV6" s="136"/>
      <c r="BW6" s="8"/>
      <c r="BX6" s="8"/>
      <c r="BY6" s="127"/>
      <c r="BZ6" s="1502">
        <v>541</v>
      </c>
      <c r="CA6" s="1495">
        <v>407</v>
      </c>
      <c r="CB6" s="1495">
        <f t="shared" si="8"/>
        <v>541</v>
      </c>
      <c r="CC6" s="1503">
        <f t="shared" si="8"/>
        <v>407</v>
      </c>
      <c r="CD6" s="1494"/>
      <c r="CE6" s="129"/>
      <c r="CF6" s="129"/>
      <c r="CG6" s="130"/>
      <c r="CH6" s="131">
        <v>20.87</v>
      </c>
      <c r="CI6" s="132">
        <v>10.91</v>
      </c>
      <c r="CJ6" s="132">
        <f aca="true" t="shared" si="20" ref="CJ6:CK10">CH6</f>
        <v>20.87</v>
      </c>
      <c r="CK6" s="1372">
        <f t="shared" si="20"/>
        <v>10.91</v>
      </c>
      <c r="CL6" s="587"/>
      <c r="CM6" s="638"/>
      <c r="CN6" s="1509">
        <f t="shared" si="9"/>
        <v>0</v>
      </c>
      <c r="CO6" s="1">
        <f t="shared" si="9"/>
        <v>0</v>
      </c>
      <c r="CP6" s="1508">
        <f aca="true" t="shared" si="21" ref="CP6:CP12">SUM(B6+F6+J6+N6+R6+V6+Z6+AD6+AH6+AL6+AP6+AT6+AX6+AD6+BF6+BJ6+BN6+BR6+BV6+BZ6+CD6+CH6+B6)</f>
        <v>4231.79</v>
      </c>
      <c r="CQ6" s="1508">
        <f t="shared" si="10"/>
        <v>2501.379999999999</v>
      </c>
      <c r="CR6" s="1508">
        <f t="shared" si="10"/>
        <v>4231.79</v>
      </c>
      <c r="CS6" s="1508">
        <f t="shared" si="10"/>
        <v>2501.379999999999</v>
      </c>
      <c r="CT6" s="131">
        <v>0.5</v>
      </c>
      <c r="CU6" s="132">
        <v>0.49</v>
      </c>
      <c r="CV6" s="527">
        <f t="shared" si="11"/>
        <v>0.5</v>
      </c>
      <c r="CW6" s="528">
        <f t="shared" si="11"/>
        <v>0.49</v>
      </c>
      <c r="CX6" s="113">
        <f aca="true" t="shared" si="22" ref="CX6:CX14">CP6+CT6</f>
        <v>4232.29</v>
      </c>
      <c r="CY6" s="53">
        <f aca="true" t="shared" si="23" ref="CY6:CY14">CQ6+CU6</f>
        <v>2501.869999999999</v>
      </c>
      <c r="CZ6" s="53">
        <f aca="true" t="shared" si="24" ref="CZ6:CZ14">CR6+CV6</f>
        <v>4232.29</v>
      </c>
      <c r="DA6" s="125">
        <f aca="true" t="shared" si="25" ref="DA6:DA14">CS6+CW6</f>
        <v>2501.869999999999</v>
      </c>
    </row>
    <row r="7" spans="1:105" s="126" customFormat="1" ht="13.5">
      <c r="A7" s="137" t="s">
        <v>5</v>
      </c>
      <c r="B7" s="45">
        <v>8.55</v>
      </c>
      <c r="C7" s="8">
        <v>0.37</v>
      </c>
      <c r="D7" s="527">
        <f t="shared" si="0"/>
        <v>8.55</v>
      </c>
      <c r="E7" s="528">
        <f t="shared" si="0"/>
        <v>0.37</v>
      </c>
      <c r="F7" s="45"/>
      <c r="G7" s="8"/>
      <c r="H7" s="8"/>
      <c r="I7" s="127"/>
      <c r="J7" s="7"/>
      <c r="K7" s="8"/>
      <c r="L7" s="527">
        <f t="shared" si="1"/>
        <v>0</v>
      </c>
      <c r="M7" s="528">
        <f t="shared" si="1"/>
        <v>0</v>
      </c>
      <c r="N7" s="7">
        <v>103</v>
      </c>
      <c r="O7" s="8">
        <v>99</v>
      </c>
      <c r="P7" s="527">
        <f t="shared" si="2"/>
        <v>103</v>
      </c>
      <c r="Q7" s="528">
        <f t="shared" si="2"/>
        <v>99</v>
      </c>
      <c r="R7" s="45"/>
      <c r="S7" s="8"/>
      <c r="T7" s="8">
        <f t="shared" si="12"/>
        <v>0</v>
      </c>
      <c r="U7" s="127">
        <f t="shared" si="12"/>
        <v>0</v>
      </c>
      <c r="V7" s="7">
        <v>2.34</v>
      </c>
      <c r="W7" s="8">
        <v>1.76</v>
      </c>
      <c r="X7" s="8">
        <f t="shared" si="13"/>
        <v>2.34</v>
      </c>
      <c r="Y7" s="9">
        <f t="shared" si="13"/>
        <v>1.76</v>
      </c>
      <c r="Z7" s="7">
        <v>24.11</v>
      </c>
      <c r="AA7" s="8">
        <v>170.55</v>
      </c>
      <c r="AB7" s="8">
        <f t="shared" si="14"/>
        <v>24.11</v>
      </c>
      <c r="AC7" s="127">
        <f t="shared" si="14"/>
        <v>170.55</v>
      </c>
      <c r="AD7" s="7"/>
      <c r="AE7" s="8"/>
      <c r="AF7" s="8"/>
      <c r="AG7" s="9"/>
      <c r="AH7" s="7"/>
      <c r="AI7" s="8"/>
      <c r="AJ7" s="8">
        <f t="shared" si="15"/>
        <v>0</v>
      </c>
      <c r="AK7" s="9">
        <f t="shared" si="15"/>
        <v>0</v>
      </c>
      <c r="AL7" s="45">
        <v>0.08</v>
      </c>
      <c r="AM7" s="8"/>
      <c r="AN7" s="527">
        <f t="shared" si="3"/>
        <v>0.08</v>
      </c>
      <c r="AO7" s="529">
        <f t="shared" si="3"/>
        <v>0</v>
      </c>
      <c r="AP7" s="7">
        <v>294.73</v>
      </c>
      <c r="AQ7" s="8">
        <v>228.79</v>
      </c>
      <c r="AR7" s="527">
        <f t="shared" si="4"/>
        <v>294.73</v>
      </c>
      <c r="AS7" s="528">
        <f t="shared" si="4"/>
        <v>228.79</v>
      </c>
      <c r="AT7" s="7">
        <v>14</v>
      </c>
      <c r="AU7" s="8">
        <v>2</v>
      </c>
      <c r="AV7" s="527">
        <f t="shared" si="5"/>
        <v>14</v>
      </c>
      <c r="AW7" s="528">
        <f t="shared" si="5"/>
        <v>2</v>
      </c>
      <c r="AX7" s="118"/>
      <c r="AY7" s="119"/>
      <c r="AZ7" s="119">
        <f t="shared" si="16"/>
        <v>0</v>
      </c>
      <c r="BA7" s="1061">
        <f t="shared" si="16"/>
        <v>0</v>
      </c>
      <c r="BB7" s="587"/>
      <c r="BC7" s="638"/>
      <c r="BD7" s="638">
        <f t="shared" si="17"/>
        <v>0</v>
      </c>
      <c r="BE7" s="639">
        <f t="shared" si="17"/>
        <v>0</v>
      </c>
      <c r="BF7" s="45">
        <v>36.85</v>
      </c>
      <c r="BG7" s="8">
        <v>10.72</v>
      </c>
      <c r="BH7" s="527">
        <f t="shared" si="6"/>
        <v>36.85</v>
      </c>
      <c r="BI7" s="529">
        <f t="shared" si="6"/>
        <v>10.72</v>
      </c>
      <c r="BJ7" s="7"/>
      <c r="BK7" s="8"/>
      <c r="BL7" s="527">
        <f t="shared" si="7"/>
        <v>0</v>
      </c>
      <c r="BM7" s="528">
        <f t="shared" si="7"/>
        <v>0</v>
      </c>
      <c r="BN7" s="7">
        <v>0.002</v>
      </c>
      <c r="BO7" s="8"/>
      <c r="BP7" s="527">
        <f t="shared" si="18"/>
        <v>0.002</v>
      </c>
      <c r="BQ7" s="527">
        <f t="shared" si="19"/>
        <v>0</v>
      </c>
      <c r="BR7" s="7"/>
      <c r="BS7" s="8"/>
      <c r="BT7" s="8"/>
      <c r="BU7" s="9"/>
      <c r="BV7" s="136"/>
      <c r="BW7" s="8"/>
      <c r="BX7" s="8"/>
      <c r="BY7" s="127"/>
      <c r="BZ7" s="1502">
        <v>5</v>
      </c>
      <c r="CA7" s="1495">
        <v>2</v>
      </c>
      <c r="CB7" s="1495">
        <f t="shared" si="8"/>
        <v>5</v>
      </c>
      <c r="CC7" s="1503">
        <f t="shared" si="8"/>
        <v>2</v>
      </c>
      <c r="CD7" s="1494">
        <v>24.68</v>
      </c>
      <c r="CE7" s="129">
        <v>38.53</v>
      </c>
      <c r="CF7" s="129">
        <f aca="true" t="shared" si="26" ref="CF7:CG10">CD7</f>
        <v>24.68</v>
      </c>
      <c r="CG7" s="130">
        <f t="shared" si="26"/>
        <v>38.53</v>
      </c>
      <c r="CH7" s="131"/>
      <c r="CI7" s="132"/>
      <c r="CJ7" s="132">
        <f t="shared" si="20"/>
        <v>0</v>
      </c>
      <c r="CK7" s="1372">
        <f t="shared" si="20"/>
        <v>0</v>
      </c>
      <c r="CL7" s="587"/>
      <c r="CM7" s="638"/>
      <c r="CN7" s="1509">
        <f t="shared" si="9"/>
        <v>0</v>
      </c>
      <c r="CO7" s="1">
        <f t="shared" si="9"/>
        <v>0</v>
      </c>
      <c r="CP7" s="1508">
        <f t="shared" si="21"/>
        <v>521.892</v>
      </c>
      <c r="CQ7" s="1508">
        <f t="shared" si="10"/>
        <v>554.09</v>
      </c>
      <c r="CR7" s="1508">
        <f t="shared" si="10"/>
        <v>521.892</v>
      </c>
      <c r="CS7" s="1508">
        <f t="shared" si="10"/>
        <v>554.09</v>
      </c>
      <c r="CT7" s="131">
        <v>3.16</v>
      </c>
      <c r="CU7" s="132">
        <v>1.27</v>
      </c>
      <c r="CV7" s="527">
        <f t="shared" si="11"/>
        <v>3.16</v>
      </c>
      <c r="CW7" s="528">
        <f t="shared" si="11"/>
        <v>1.27</v>
      </c>
      <c r="CX7" s="113">
        <f t="shared" si="22"/>
        <v>525.052</v>
      </c>
      <c r="CY7" s="53">
        <f t="shared" si="23"/>
        <v>555.36</v>
      </c>
      <c r="CZ7" s="53">
        <f t="shared" si="24"/>
        <v>525.052</v>
      </c>
      <c r="DA7" s="125">
        <f t="shared" si="25"/>
        <v>555.36</v>
      </c>
    </row>
    <row r="8" spans="1:105" s="126" customFormat="1" ht="13.5">
      <c r="A8" s="137" t="s">
        <v>6</v>
      </c>
      <c r="B8" s="45">
        <v>23.55</v>
      </c>
      <c r="C8" s="8">
        <v>15.98</v>
      </c>
      <c r="D8" s="527">
        <f t="shared" si="0"/>
        <v>23.55</v>
      </c>
      <c r="E8" s="528">
        <f t="shared" si="0"/>
        <v>15.98</v>
      </c>
      <c r="F8" s="45">
        <v>3.26</v>
      </c>
      <c r="G8" s="8">
        <v>2.34</v>
      </c>
      <c r="H8" s="8">
        <f aca="true" t="shared" si="27" ref="H8:I10">F8</f>
        <v>3.26</v>
      </c>
      <c r="I8" s="127">
        <f t="shared" si="27"/>
        <v>2.34</v>
      </c>
      <c r="J8" s="7">
        <v>2.29</v>
      </c>
      <c r="K8" s="8">
        <v>5.67</v>
      </c>
      <c r="L8" s="527">
        <f t="shared" si="1"/>
        <v>2.29</v>
      </c>
      <c r="M8" s="528">
        <f t="shared" si="1"/>
        <v>5.67</v>
      </c>
      <c r="N8" s="7">
        <v>12</v>
      </c>
      <c r="O8" s="8">
        <v>9</v>
      </c>
      <c r="P8" s="527">
        <f t="shared" si="2"/>
        <v>12</v>
      </c>
      <c r="Q8" s="528">
        <f t="shared" si="2"/>
        <v>9</v>
      </c>
      <c r="R8" s="45"/>
      <c r="S8" s="8"/>
      <c r="T8" s="8">
        <f t="shared" si="12"/>
        <v>0</v>
      </c>
      <c r="U8" s="127">
        <f t="shared" si="12"/>
        <v>0</v>
      </c>
      <c r="V8" s="7">
        <v>0.2</v>
      </c>
      <c r="W8" s="8">
        <v>0.53</v>
      </c>
      <c r="X8" s="8">
        <f t="shared" si="13"/>
        <v>0.2</v>
      </c>
      <c r="Y8" s="9">
        <f t="shared" si="13"/>
        <v>0.53</v>
      </c>
      <c r="Z8" s="7">
        <v>10.08</v>
      </c>
      <c r="AA8" s="8">
        <v>57.39</v>
      </c>
      <c r="AB8" s="8">
        <f t="shared" si="14"/>
        <v>10.08</v>
      </c>
      <c r="AC8" s="127">
        <f t="shared" si="14"/>
        <v>57.39</v>
      </c>
      <c r="AD8" s="7">
        <v>1.17</v>
      </c>
      <c r="AE8" s="8">
        <v>1.2</v>
      </c>
      <c r="AF8" s="8">
        <f aca="true" t="shared" si="28" ref="AF8:AG10">AD8</f>
        <v>1.17</v>
      </c>
      <c r="AG8" s="9">
        <f t="shared" si="28"/>
        <v>1.2</v>
      </c>
      <c r="AH8" s="7">
        <v>10.91</v>
      </c>
      <c r="AI8" s="8">
        <v>17.38</v>
      </c>
      <c r="AJ8" s="8">
        <f t="shared" si="15"/>
        <v>10.91</v>
      </c>
      <c r="AK8" s="9">
        <f t="shared" si="15"/>
        <v>17.38</v>
      </c>
      <c r="AL8" s="45">
        <v>5.31</v>
      </c>
      <c r="AM8" s="8">
        <v>5.04</v>
      </c>
      <c r="AN8" s="527">
        <f t="shared" si="3"/>
        <v>5.31</v>
      </c>
      <c r="AO8" s="529">
        <f t="shared" si="3"/>
        <v>5.04</v>
      </c>
      <c r="AP8" s="7">
        <v>46.5</v>
      </c>
      <c r="AQ8" s="8">
        <v>47.41</v>
      </c>
      <c r="AR8" s="527">
        <f t="shared" si="4"/>
        <v>46.5</v>
      </c>
      <c r="AS8" s="528">
        <f t="shared" si="4"/>
        <v>47.41</v>
      </c>
      <c r="AT8" s="7">
        <v>62</v>
      </c>
      <c r="AU8" s="8">
        <v>21</v>
      </c>
      <c r="AV8" s="527">
        <f t="shared" si="5"/>
        <v>62</v>
      </c>
      <c r="AW8" s="528">
        <f t="shared" si="5"/>
        <v>21</v>
      </c>
      <c r="AX8" s="118"/>
      <c r="AY8" s="119"/>
      <c r="AZ8" s="119">
        <f t="shared" si="16"/>
        <v>0</v>
      </c>
      <c r="BA8" s="1061">
        <f t="shared" si="16"/>
        <v>0</v>
      </c>
      <c r="BB8" s="587">
        <v>4.74</v>
      </c>
      <c r="BC8" s="638">
        <v>3.58</v>
      </c>
      <c r="BD8" s="638">
        <f t="shared" si="17"/>
        <v>4.74</v>
      </c>
      <c r="BE8" s="639">
        <f t="shared" si="17"/>
        <v>3.58</v>
      </c>
      <c r="BF8" s="45">
        <v>31.28</v>
      </c>
      <c r="BG8" s="8">
        <v>32.8</v>
      </c>
      <c r="BH8" s="527">
        <f t="shared" si="6"/>
        <v>31.28</v>
      </c>
      <c r="BI8" s="529">
        <f t="shared" si="6"/>
        <v>32.8</v>
      </c>
      <c r="BJ8" s="7">
        <v>9.08</v>
      </c>
      <c r="BK8" s="8">
        <v>11.7</v>
      </c>
      <c r="BL8" s="527">
        <f t="shared" si="7"/>
        <v>9.08</v>
      </c>
      <c r="BM8" s="528">
        <f t="shared" si="7"/>
        <v>11.7</v>
      </c>
      <c r="BN8" s="7">
        <v>16.72</v>
      </c>
      <c r="BO8" s="8">
        <v>4.93</v>
      </c>
      <c r="BP8" s="527">
        <f t="shared" si="18"/>
        <v>16.72</v>
      </c>
      <c r="BQ8" s="527">
        <f t="shared" si="19"/>
        <v>4.93</v>
      </c>
      <c r="BR8" s="7"/>
      <c r="BS8" s="8">
        <v>0.11</v>
      </c>
      <c r="BT8" s="8">
        <f aca="true" t="shared" si="29" ref="BT8:BU10">BR8</f>
        <v>0</v>
      </c>
      <c r="BU8" s="9">
        <f t="shared" si="29"/>
        <v>0.11</v>
      </c>
      <c r="BV8" s="136"/>
      <c r="BW8" s="8"/>
      <c r="BX8" s="8"/>
      <c r="BY8" s="127"/>
      <c r="BZ8" s="1502">
        <v>11</v>
      </c>
      <c r="CA8" s="1495">
        <v>6</v>
      </c>
      <c r="CB8" s="1495">
        <f t="shared" si="8"/>
        <v>11</v>
      </c>
      <c r="CC8" s="1503">
        <f t="shared" si="8"/>
        <v>6</v>
      </c>
      <c r="CD8" s="1494">
        <v>0.35</v>
      </c>
      <c r="CE8" s="129">
        <v>0.98</v>
      </c>
      <c r="CF8" s="129">
        <f t="shared" si="26"/>
        <v>0.35</v>
      </c>
      <c r="CG8" s="130">
        <f t="shared" si="26"/>
        <v>0.98</v>
      </c>
      <c r="CH8" s="131">
        <v>0.15</v>
      </c>
      <c r="CI8" s="132">
        <v>0.15</v>
      </c>
      <c r="CJ8" s="132">
        <f t="shared" si="20"/>
        <v>0.15</v>
      </c>
      <c r="CK8" s="1372">
        <f t="shared" si="20"/>
        <v>0.15</v>
      </c>
      <c r="CL8" s="587">
        <v>7.57</v>
      </c>
      <c r="CM8" s="638">
        <v>0.07</v>
      </c>
      <c r="CN8" s="1509">
        <f t="shared" si="9"/>
        <v>7.57</v>
      </c>
      <c r="CO8" s="1">
        <f t="shared" si="9"/>
        <v>0.07</v>
      </c>
      <c r="CP8" s="1508">
        <f t="shared" si="21"/>
        <v>270.57</v>
      </c>
      <c r="CQ8" s="1508">
        <f t="shared" si="10"/>
        <v>256.79</v>
      </c>
      <c r="CR8" s="1508">
        <f t="shared" si="10"/>
        <v>270.57</v>
      </c>
      <c r="CS8" s="1508">
        <f t="shared" si="10"/>
        <v>256.79</v>
      </c>
      <c r="CT8" s="131">
        <v>4.45</v>
      </c>
      <c r="CU8" s="132">
        <v>7.08</v>
      </c>
      <c r="CV8" s="527">
        <f t="shared" si="11"/>
        <v>4.45</v>
      </c>
      <c r="CW8" s="528">
        <f t="shared" si="11"/>
        <v>7.08</v>
      </c>
      <c r="CX8" s="113">
        <f t="shared" si="22"/>
        <v>275.02</v>
      </c>
      <c r="CY8" s="53">
        <f t="shared" si="23"/>
        <v>263.87</v>
      </c>
      <c r="CZ8" s="53">
        <f t="shared" si="24"/>
        <v>275.02</v>
      </c>
      <c r="DA8" s="125">
        <f t="shared" si="25"/>
        <v>263.87</v>
      </c>
    </row>
    <row r="9" spans="1:105" s="126" customFormat="1" ht="13.5">
      <c r="A9" s="137" t="s">
        <v>7</v>
      </c>
      <c r="B9" s="45"/>
      <c r="C9" s="8"/>
      <c r="D9" s="527">
        <f t="shared" si="0"/>
        <v>0</v>
      </c>
      <c r="E9" s="528">
        <f t="shared" si="0"/>
        <v>0</v>
      </c>
      <c r="F9" s="45"/>
      <c r="G9" s="8"/>
      <c r="H9" s="8">
        <f t="shared" si="27"/>
        <v>0</v>
      </c>
      <c r="I9" s="127">
        <f t="shared" si="27"/>
        <v>0</v>
      </c>
      <c r="J9" s="7"/>
      <c r="K9" s="8"/>
      <c r="L9" s="527">
        <f t="shared" si="1"/>
        <v>0</v>
      </c>
      <c r="M9" s="528">
        <f t="shared" si="1"/>
        <v>0</v>
      </c>
      <c r="N9" s="7">
        <v>14</v>
      </c>
      <c r="O9" s="8">
        <v>2</v>
      </c>
      <c r="P9" s="527">
        <f t="shared" si="2"/>
        <v>14</v>
      </c>
      <c r="Q9" s="528">
        <f t="shared" si="2"/>
        <v>2</v>
      </c>
      <c r="R9" s="45"/>
      <c r="S9" s="8"/>
      <c r="T9" s="8">
        <f t="shared" si="12"/>
        <v>0</v>
      </c>
      <c r="U9" s="127">
        <f t="shared" si="12"/>
        <v>0</v>
      </c>
      <c r="V9" s="7"/>
      <c r="W9" s="8"/>
      <c r="X9" s="8">
        <f t="shared" si="13"/>
        <v>0</v>
      </c>
      <c r="Y9" s="9">
        <f t="shared" si="13"/>
        <v>0</v>
      </c>
      <c r="Z9" s="7">
        <v>4.61</v>
      </c>
      <c r="AA9" s="8"/>
      <c r="AB9" s="8">
        <f t="shared" si="14"/>
        <v>4.61</v>
      </c>
      <c r="AC9" s="127">
        <f t="shared" si="14"/>
        <v>0</v>
      </c>
      <c r="AD9" s="7"/>
      <c r="AE9" s="8"/>
      <c r="AF9" s="8">
        <f t="shared" si="28"/>
        <v>0</v>
      </c>
      <c r="AG9" s="9">
        <f t="shared" si="28"/>
        <v>0</v>
      </c>
      <c r="AH9" s="7"/>
      <c r="AI9" s="8"/>
      <c r="AJ9" s="8">
        <f t="shared" si="15"/>
        <v>0</v>
      </c>
      <c r="AK9" s="9">
        <f t="shared" si="15"/>
        <v>0</v>
      </c>
      <c r="AL9" s="45"/>
      <c r="AM9" s="8"/>
      <c r="AN9" s="527">
        <f t="shared" si="3"/>
        <v>0</v>
      </c>
      <c r="AO9" s="529">
        <f t="shared" si="3"/>
        <v>0</v>
      </c>
      <c r="AP9" s="7">
        <v>0.94</v>
      </c>
      <c r="AQ9" s="8">
        <v>2.85</v>
      </c>
      <c r="AR9" s="527">
        <f t="shared" si="4"/>
        <v>0.94</v>
      </c>
      <c r="AS9" s="528">
        <f t="shared" si="4"/>
        <v>2.85</v>
      </c>
      <c r="AT9" s="7"/>
      <c r="AU9" s="8"/>
      <c r="AV9" s="527">
        <f t="shared" si="5"/>
        <v>0</v>
      </c>
      <c r="AW9" s="528">
        <f t="shared" si="5"/>
        <v>0</v>
      </c>
      <c r="AX9" s="118"/>
      <c r="AY9" s="119"/>
      <c r="AZ9" s="119">
        <f t="shared" si="16"/>
        <v>0</v>
      </c>
      <c r="BA9" s="1061">
        <f t="shared" si="16"/>
        <v>0</v>
      </c>
      <c r="BB9" s="587"/>
      <c r="BC9" s="638"/>
      <c r="BD9" s="638">
        <f t="shared" si="17"/>
        <v>0</v>
      </c>
      <c r="BE9" s="639">
        <f t="shared" si="17"/>
        <v>0</v>
      </c>
      <c r="BF9" s="45">
        <v>26.52</v>
      </c>
      <c r="BG9" s="8">
        <v>11</v>
      </c>
      <c r="BH9" s="527">
        <f t="shared" si="6"/>
        <v>26.52</v>
      </c>
      <c r="BI9" s="529">
        <f t="shared" si="6"/>
        <v>11</v>
      </c>
      <c r="BJ9" s="7"/>
      <c r="BK9" s="8"/>
      <c r="BL9" s="527">
        <f t="shared" si="7"/>
        <v>0</v>
      </c>
      <c r="BM9" s="528">
        <f t="shared" si="7"/>
        <v>0</v>
      </c>
      <c r="BN9" s="7"/>
      <c r="BO9" s="8"/>
      <c r="BP9" s="527">
        <f t="shared" si="18"/>
        <v>0</v>
      </c>
      <c r="BQ9" s="527">
        <f t="shared" si="19"/>
        <v>0</v>
      </c>
      <c r="BR9" s="7"/>
      <c r="BS9" s="8"/>
      <c r="BT9" s="8">
        <f t="shared" si="29"/>
        <v>0</v>
      </c>
      <c r="BU9" s="9">
        <f t="shared" si="29"/>
        <v>0</v>
      </c>
      <c r="BV9" s="136"/>
      <c r="BW9" s="8"/>
      <c r="BX9" s="8"/>
      <c r="BY9" s="127"/>
      <c r="BZ9" s="1504"/>
      <c r="CA9" s="1496"/>
      <c r="CB9" s="1495">
        <f t="shared" si="8"/>
        <v>0</v>
      </c>
      <c r="CC9" s="1503">
        <f t="shared" si="8"/>
        <v>0</v>
      </c>
      <c r="CD9" s="1494"/>
      <c r="CE9" s="129"/>
      <c r="CF9" s="129">
        <f t="shared" si="26"/>
        <v>0</v>
      </c>
      <c r="CG9" s="130">
        <f t="shared" si="26"/>
        <v>0</v>
      </c>
      <c r="CH9" s="131"/>
      <c r="CI9" s="132"/>
      <c r="CJ9" s="132">
        <f t="shared" si="20"/>
        <v>0</v>
      </c>
      <c r="CK9" s="1372">
        <f t="shared" si="20"/>
        <v>0</v>
      </c>
      <c r="CL9" s="587"/>
      <c r="CM9" s="638"/>
      <c r="CN9" s="1509">
        <f t="shared" si="9"/>
        <v>0</v>
      </c>
      <c r="CO9" s="1">
        <f t="shared" si="9"/>
        <v>0</v>
      </c>
      <c r="CP9" s="1508">
        <f t="shared" si="21"/>
        <v>46.07</v>
      </c>
      <c r="CQ9" s="1508">
        <f t="shared" si="10"/>
        <v>15.85</v>
      </c>
      <c r="CR9" s="1508">
        <f t="shared" si="10"/>
        <v>46.07</v>
      </c>
      <c r="CS9" s="1508">
        <f t="shared" si="10"/>
        <v>15.85</v>
      </c>
      <c r="CT9" s="131"/>
      <c r="CU9" s="132"/>
      <c r="CV9" s="527">
        <f t="shared" si="11"/>
        <v>0</v>
      </c>
      <c r="CW9" s="528">
        <f t="shared" si="11"/>
        <v>0</v>
      </c>
      <c r="CX9" s="113">
        <f t="shared" si="22"/>
        <v>46.07</v>
      </c>
      <c r="CY9" s="53">
        <f t="shared" si="23"/>
        <v>15.85</v>
      </c>
      <c r="CZ9" s="53">
        <f t="shared" si="24"/>
        <v>46.07</v>
      </c>
      <c r="DA9" s="125">
        <f t="shared" si="25"/>
        <v>15.85</v>
      </c>
    </row>
    <row r="10" spans="1:105" s="126" customFormat="1" ht="13.5">
      <c r="A10" s="137" t="s">
        <v>8</v>
      </c>
      <c r="B10" s="45">
        <v>144.17</v>
      </c>
      <c r="C10" s="8">
        <v>359.41</v>
      </c>
      <c r="D10" s="527">
        <f t="shared" si="0"/>
        <v>144.17</v>
      </c>
      <c r="E10" s="528">
        <f t="shared" si="0"/>
        <v>359.41</v>
      </c>
      <c r="F10" s="45">
        <v>0.77</v>
      </c>
      <c r="G10" s="8">
        <v>0.96</v>
      </c>
      <c r="H10" s="8">
        <f t="shared" si="27"/>
        <v>0.77</v>
      </c>
      <c r="I10" s="127">
        <f t="shared" si="27"/>
        <v>0.96</v>
      </c>
      <c r="J10" s="7">
        <v>16.89</v>
      </c>
      <c r="K10" s="8">
        <v>15</v>
      </c>
      <c r="L10" s="527">
        <f t="shared" si="1"/>
        <v>16.89</v>
      </c>
      <c r="M10" s="528">
        <f t="shared" si="1"/>
        <v>15</v>
      </c>
      <c r="N10" s="7">
        <v>392</v>
      </c>
      <c r="O10" s="8">
        <v>262</v>
      </c>
      <c r="P10" s="527">
        <f t="shared" si="2"/>
        <v>392</v>
      </c>
      <c r="Q10" s="528">
        <f t="shared" si="2"/>
        <v>262</v>
      </c>
      <c r="R10" s="45">
        <v>59</v>
      </c>
      <c r="S10" s="8">
        <v>64</v>
      </c>
      <c r="T10" s="8">
        <f t="shared" si="12"/>
        <v>59</v>
      </c>
      <c r="U10" s="127">
        <f t="shared" si="12"/>
        <v>64</v>
      </c>
      <c r="V10" s="7">
        <v>172.62</v>
      </c>
      <c r="W10" s="8">
        <v>82.46</v>
      </c>
      <c r="X10" s="8">
        <f t="shared" si="13"/>
        <v>172.62</v>
      </c>
      <c r="Y10" s="9">
        <f t="shared" si="13"/>
        <v>82.46</v>
      </c>
      <c r="Z10" s="7">
        <v>63.78</v>
      </c>
      <c r="AA10" s="8">
        <v>58.47</v>
      </c>
      <c r="AB10" s="8">
        <f t="shared" si="14"/>
        <v>63.78</v>
      </c>
      <c r="AC10" s="127">
        <f t="shared" si="14"/>
        <v>58.47</v>
      </c>
      <c r="AD10" s="7">
        <v>8.05</v>
      </c>
      <c r="AE10" s="8">
        <v>17.59</v>
      </c>
      <c r="AF10" s="8">
        <f t="shared" si="28"/>
        <v>8.05</v>
      </c>
      <c r="AG10" s="9">
        <f t="shared" si="28"/>
        <v>17.59</v>
      </c>
      <c r="AH10" s="7">
        <v>1.37</v>
      </c>
      <c r="AI10" s="8">
        <v>2.43</v>
      </c>
      <c r="AJ10" s="8">
        <f t="shared" si="15"/>
        <v>1.37</v>
      </c>
      <c r="AK10" s="9">
        <f t="shared" si="15"/>
        <v>2.43</v>
      </c>
      <c r="AL10" s="45">
        <v>74.86</v>
      </c>
      <c r="AM10" s="8">
        <v>41.79</v>
      </c>
      <c r="AN10" s="527">
        <f t="shared" si="3"/>
        <v>74.86</v>
      </c>
      <c r="AO10" s="529">
        <f t="shared" si="3"/>
        <v>41.79</v>
      </c>
      <c r="AP10" s="7">
        <v>1388.5</v>
      </c>
      <c r="AQ10" s="8">
        <v>966.87</v>
      </c>
      <c r="AR10" s="527">
        <f t="shared" si="4"/>
        <v>1388.5</v>
      </c>
      <c r="AS10" s="528">
        <f t="shared" si="4"/>
        <v>966.87</v>
      </c>
      <c r="AT10" s="7">
        <v>531</v>
      </c>
      <c r="AU10" s="8">
        <v>233</v>
      </c>
      <c r="AV10" s="527">
        <f t="shared" si="5"/>
        <v>531</v>
      </c>
      <c r="AW10" s="528">
        <f t="shared" si="5"/>
        <v>233</v>
      </c>
      <c r="AX10" s="118">
        <v>149.63</v>
      </c>
      <c r="AY10" s="119">
        <v>123.89</v>
      </c>
      <c r="AZ10" s="119">
        <f t="shared" si="16"/>
        <v>149.63</v>
      </c>
      <c r="BA10" s="1061">
        <f t="shared" si="16"/>
        <v>123.89</v>
      </c>
      <c r="BB10" s="587">
        <v>272.04</v>
      </c>
      <c r="BC10" s="638">
        <v>266.58</v>
      </c>
      <c r="BD10" s="638">
        <f t="shared" si="17"/>
        <v>272.04</v>
      </c>
      <c r="BE10" s="639">
        <f t="shared" si="17"/>
        <v>266.58</v>
      </c>
      <c r="BF10" s="134">
        <v>497.62</v>
      </c>
      <c r="BG10" s="135">
        <v>321.17</v>
      </c>
      <c r="BH10" s="527">
        <f t="shared" si="6"/>
        <v>497.62</v>
      </c>
      <c r="BI10" s="529">
        <f t="shared" si="6"/>
        <v>321.17</v>
      </c>
      <c r="BJ10" s="7">
        <v>1307</v>
      </c>
      <c r="BK10" s="8">
        <v>15.36</v>
      </c>
      <c r="BL10" s="527">
        <f t="shared" si="7"/>
        <v>1307</v>
      </c>
      <c r="BM10" s="528">
        <f t="shared" si="7"/>
        <v>15.36</v>
      </c>
      <c r="BN10" s="7">
        <v>7.95</v>
      </c>
      <c r="BO10" s="8">
        <v>4.8</v>
      </c>
      <c r="BP10" s="527">
        <f t="shared" si="18"/>
        <v>7.95</v>
      </c>
      <c r="BQ10" s="527">
        <f t="shared" si="19"/>
        <v>4.8</v>
      </c>
      <c r="BR10" s="7">
        <v>13.87</v>
      </c>
      <c r="BS10" s="8">
        <v>30.61</v>
      </c>
      <c r="BT10" s="8">
        <f t="shared" si="29"/>
        <v>13.87</v>
      </c>
      <c r="BU10" s="9">
        <f t="shared" si="29"/>
        <v>30.61</v>
      </c>
      <c r="BV10" s="136"/>
      <c r="BW10" s="8"/>
      <c r="BX10" s="8"/>
      <c r="BY10" s="127"/>
      <c r="BZ10" s="1502">
        <v>711</v>
      </c>
      <c r="CA10" s="1495">
        <v>293</v>
      </c>
      <c r="CB10" s="1495">
        <f t="shared" si="8"/>
        <v>711</v>
      </c>
      <c r="CC10" s="1503">
        <f t="shared" si="8"/>
        <v>293</v>
      </c>
      <c r="CD10" s="1494">
        <v>26.83</v>
      </c>
      <c r="CE10" s="129">
        <v>28</v>
      </c>
      <c r="CF10" s="129">
        <f t="shared" si="26"/>
        <v>26.83</v>
      </c>
      <c r="CG10" s="130">
        <f t="shared" si="26"/>
        <v>28</v>
      </c>
      <c r="CH10" s="131">
        <v>0.08</v>
      </c>
      <c r="CI10" s="132">
        <v>0.08</v>
      </c>
      <c r="CJ10" s="132">
        <f t="shared" si="20"/>
        <v>0.08</v>
      </c>
      <c r="CK10" s="1372">
        <f t="shared" si="20"/>
        <v>0.08</v>
      </c>
      <c r="CL10" s="587">
        <v>13.55</v>
      </c>
      <c r="CM10" s="638">
        <v>19.82</v>
      </c>
      <c r="CN10" s="1509">
        <f t="shared" si="9"/>
        <v>13.55</v>
      </c>
      <c r="CO10" s="1">
        <f t="shared" si="9"/>
        <v>19.82</v>
      </c>
      <c r="CP10" s="1508">
        <f t="shared" si="21"/>
        <v>5719.209999999999</v>
      </c>
      <c r="CQ10" s="1508">
        <f t="shared" si="10"/>
        <v>3297.8900000000003</v>
      </c>
      <c r="CR10" s="1508">
        <f t="shared" si="10"/>
        <v>5719.209999999999</v>
      </c>
      <c r="CS10" s="1508">
        <f t="shared" si="10"/>
        <v>3297.8900000000003</v>
      </c>
      <c r="CT10" s="7">
        <v>34689.58</v>
      </c>
      <c r="CU10" s="8">
        <v>15908.61</v>
      </c>
      <c r="CV10" s="527">
        <f t="shared" si="11"/>
        <v>34689.58</v>
      </c>
      <c r="CW10" s="528">
        <f t="shared" si="11"/>
        <v>15908.61</v>
      </c>
      <c r="CX10" s="113">
        <f t="shared" si="22"/>
        <v>40408.79</v>
      </c>
      <c r="CY10" s="53">
        <f t="shared" si="23"/>
        <v>19206.5</v>
      </c>
      <c r="CZ10" s="53">
        <f t="shared" si="24"/>
        <v>40408.79</v>
      </c>
      <c r="DA10" s="125">
        <f t="shared" si="25"/>
        <v>19206.5</v>
      </c>
    </row>
    <row r="11" spans="1:105" s="126" customFormat="1" ht="14.25" thickBot="1">
      <c r="A11" s="137" t="s">
        <v>9</v>
      </c>
      <c r="B11" s="113"/>
      <c r="C11" s="53"/>
      <c r="D11" s="53"/>
      <c r="E11" s="125"/>
      <c r="F11" s="45"/>
      <c r="G11" s="8"/>
      <c r="H11" s="8"/>
      <c r="I11" s="127"/>
      <c r="J11" s="7"/>
      <c r="K11" s="8"/>
      <c r="L11" s="8"/>
      <c r="M11" s="9"/>
      <c r="N11" s="7"/>
      <c r="O11" s="8"/>
      <c r="P11" s="8"/>
      <c r="Q11" s="9"/>
      <c r="R11" s="45"/>
      <c r="S11" s="8"/>
      <c r="T11" s="8"/>
      <c r="U11" s="127"/>
      <c r="V11" s="7"/>
      <c r="W11" s="8"/>
      <c r="X11" s="8"/>
      <c r="Y11" s="9"/>
      <c r="Z11" s="7"/>
      <c r="AA11" s="8"/>
      <c r="AB11" s="8"/>
      <c r="AC11" s="127"/>
      <c r="AD11" s="7"/>
      <c r="AE11" s="8"/>
      <c r="AF11" s="8"/>
      <c r="AG11" s="9"/>
      <c r="AH11" s="7"/>
      <c r="AI11" s="8"/>
      <c r="AJ11" s="8"/>
      <c r="AK11" s="9"/>
      <c r="AL11" s="45"/>
      <c r="AM11" s="8"/>
      <c r="AN11" s="8"/>
      <c r="AO11" s="127"/>
      <c r="AP11" s="7"/>
      <c r="AQ11" s="8"/>
      <c r="AR11" s="8"/>
      <c r="AS11" s="9"/>
      <c r="AT11" s="7"/>
      <c r="AU11" s="8"/>
      <c r="AV11" s="8"/>
      <c r="AW11" s="9"/>
      <c r="AX11" s="118"/>
      <c r="AY11" s="119"/>
      <c r="AZ11" s="119"/>
      <c r="BA11" s="1061"/>
      <c r="BB11" s="587"/>
      <c r="BC11" s="638"/>
      <c r="BD11" s="638"/>
      <c r="BE11" s="639"/>
      <c r="BF11" s="134"/>
      <c r="BG11" s="135"/>
      <c r="BH11" s="135"/>
      <c r="BI11" s="1060"/>
      <c r="BJ11" s="7"/>
      <c r="BK11" s="8"/>
      <c r="BL11" s="8"/>
      <c r="BM11" s="9"/>
      <c r="BN11" s="7"/>
      <c r="BO11" s="8"/>
      <c r="BP11" s="527">
        <f t="shared" si="18"/>
        <v>0</v>
      </c>
      <c r="BQ11" s="527">
        <f t="shared" si="19"/>
        <v>0</v>
      </c>
      <c r="BR11" s="7"/>
      <c r="BS11" s="8"/>
      <c r="BT11" s="8"/>
      <c r="BU11" s="9"/>
      <c r="BV11" s="136"/>
      <c r="BW11" s="8"/>
      <c r="BX11" s="8"/>
      <c r="BY11" s="127"/>
      <c r="BZ11" s="1505"/>
      <c r="CA11" s="1506"/>
      <c r="CB11" s="1506"/>
      <c r="CC11" s="1507"/>
      <c r="CD11" s="1494"/>
      <c r="CE11" s="129"/>
      <c r="CF11" s="129"/>
      <c r="CG11" s="130"/>
      <c r="CH11" s="131"/>
      <c r="CI11" s="132"/>
      <c r="CJ11" s="132"/>
      <c r="CK11" s="1372"/>
      <c r="CL11" s="7"/>
      <c r="CM11" s="8"/>
      <c r="CN11" s="8"/>
      <c r="CO11" s="9"/>
      <c r="CP11" s="1508">
        <f t="shared" si="21"/>
        <v>0</v>
      </c>
      <c r="CQ11" s="1508">
        <f t="shared" si="10"/>
        <v>0</v>
      </c>
      <c r="CR11" s="1508">
        <f t="shared" si="10"/>
        <v>0</v>
      </c>
      <c r="CS11" s="1508">
        <f t="shared" si="10"/>
        <v>0</v>
      </c>
      <c r="CT11" s="7"/>
      <c r="CU11" s="8"/>
      <c r="CV11" s="8"/>
      <c r="CW11" s="9"/>
      <c r="CX11" s="113">
        <f t="shared" si="22"/>
        <v>0</v>
      </c>
      <c r="CY11" s="53">
        <f t="shared" si="23"/>
        <v>0</v>
      </c>
      <c r="CZ11" s="53">
        <f t="shared" si="24"/>
        <v>0</v>
      </c>
      <c r="DA11" s="125">
        <f t="shared" si="25"/>
        <v>0</v>
      </c>
    </row>
    <row r="12" spans="1:105" s="720" customFormat="1" ht="13.5">
      <c r="A12" s="707" t="s">
        <v>10</v>
      </c>
      <c r="B12" s="711">
        <f>SUM(B5:B11)</f>
        <v>187.71999999999997</v>
      </c>
      <c r="C12" s="712">
        <f>SUM(C5:C11)</f>
        <v>392.91</v>
      </c>
      <c r="D12" s="712">
        <f aca="true" t="shared" si="30" ref="D12:AG12">SUM(D5:D11)</f>
        <v>187.71999999999997</v>
      </c>
      <c r="E12" s="713">
        <f t="shared" si="30"/>
        <v>392.91</v>
      </c>
      <c r="F12" s="712">
        <f t="shared" si="30"/>
        <v>4.029999999999999</v>
      </c>
      <c r="G12" s="712">
        <f t="shared" si="30"/>
        <v>3.3</v>
      </c>
      <c r="H12" s="712">
        <f t="shared" si="30"/>
        <v>4.029999999999999</v>
      </c>
      <c r="I12" s="714">
        <f t="shared" si="30"/>
        <v>3.3</v>
      </c>
      <c r="J12" s="711">
        <f t="shared" si="30"/>
        <v>19.1802</v>
      </c>
      <c r="K12" s="712">
        <f t="shared" si="30"/>
        <v>20.6737</v>
      </c>
      <c r="L12" s="712">
        <f t="shared" si="30"/>
        <v>19.1802</v>
      </c>
      <c r="M12" s="713">
        <f t="shared" si="30"/>
        <v>20.6737</v>
      </c>
      <c r="N12" s="711">
        <f t="shared" si="30"/>
        <v>667</v>
      </c>
      <c r="O12" s="712">
        <f t="shared" si="30"/>
        <v>425</v>
      </c>
      <c r="P12" s="712">
        <f t="shared" si="30"/>
        <v>667</v>
      </c>
      <c r="Q12" s="713">
        <f t="shared" si="30"/>
        <v>425</v>
      </c>
      <c r="R12" s="712">
        <f t="shared" si="30"/>
        <v>60</v>
      </c>
      <c r="S12" s="712">
        <f t="shared" si="30"/>
        <v>64</v>
      </c>
      <c r="T12" s="712">
        <f t="shared" si="30"/>
        <v>60</v>
      </c>
      <c r="U12" s="714">
        <f t="shared" si="30"/>
        <v>64</v>
      </c>
      <c r="V12" s="711">
        <f t="shared" si="30"/>
        <v>250.86</v>
      </c>
      <c r="W12" s="712">
        <f t="shared" si="30"/>
        <v>140.39</v>
      </c>
      <c r="X12" s="712">
        <f t="shared" si="30"/>
        <v>250.86</v>
      </c>
      <c r="Y12" s="713">
        <f t="shared" si="30"/>
        <v>140.39</v>
      </c>
      <c r="Z12" s="711">
        <f t="shared" si="30"/>
        <v>102.63</v>
      </c>
      <c r="AA12" s="715">
        <f t="shared" si="30"/>
        <v>286.57000000000005</v>
      </c>
      <c r="AB12" s="715">
        <f t="shared" si="30"/>
        <v>102.63</v>
      </c>
      <c r="AC12" s="716">
        <f t="shared" si="30"/>
        <v>286.57000000000005</v>
      </c>
      <c r="AD12" s="711">
        <f t="shared" si="30"/>
        <v>9.22</v>
      </c>
      <c r="AE12" s="712">
        <f t="shared" si="30"/>
        <v>18.79</v>
      </c>
      <c r="AF12" s="712">
        <f t="shared" si="30"/>
        <v>9.22</v>
      </c>
      <c r="AG12" s="713">
        <f t="shared" si="30"/>
        <v>18.79</v>
      </c>
      <c r="AH12" s="711">
        <f aca="true" t="shared" si="31" ref="AH12:BM12">SUM(AH5:AH11)</f>
        <v>12.330000000000002</v>
      </c>
      <c r="AI12" s="715">
        <f t="shared" si="31"/>
        <v>19.82</v>
      </c>
      <c r="AJ12" s="715">
        <f t="shared" si="31"/>
        <v>12.330000000000002</v>
      </c>
      <c r="AK12" s="717">
        <f t="shared" si="31"/>
        <v>19.82</v>
      </c>
      <c r="AL12" s="712">
        <f t="shared" si="31"/>
        <v>92.78</v>
      </c>
      <c r="AM12" s="712">
        <f t="shared" si="31"/>
        <v>52.46</v>
      </c>
      <c r="AN12" s="712">
        <f t="shared" si="31"/>
        <v>92.78</v>
      </c>
      <c r="AO12" s="714">
        <f t="shared" si="31"/>
        <v>52.46</v>
      </c>
      <c r="AP12" s="711">
        <f t="shared" si="31"/>
        <v>1988.9</v>
      </c>
      <c r="AQ12" s="712">
        <f t="shared" si="31"/>
        <v>1442.22</v>
      </c>
      <c r="AR12" s="712">
        <f t="shared" si="31"/>
        <v>1988.9</v>
      </c>
      <c r="AS12" s="713">
        <f t="shared" si="31"/>
        <v>1442.22</v>
      </c>
      <c r="AT12" s="711">
        <f t="shared" si="31"/>
        <v>753</v>
      </c>
      <c r="AU12" s="712">
        <f t="shared" si="31"/>
        <v>278</v>
      </c>
      <c r="AV12" s="712">
        <f t="shared" si="31"/>
        <v>753</v>
      </c>
      <c r="AW12" s="713">
        <f t="shared" si="31"/>
        <v>278</v>
      </c>
      <c r="AX12" s="711">
        <f t="shared" si="31"/>
        <v>3005.21</v>
      </c>
      <c r="AY12" s="712">
        <f t="shared" si="31"/>
        <v>1782.72</v>
      </c>
      <c r="AZ12" s="712">
        <f t="shared" si="31"/>
        <v>3005.21</v>
      </c>
      <c r="BA12" s="713">
        <f t="shared" si="31"/>
        <v>1782.72</v>
      </c>
      <c r="BB12" s="711">
        <f t="shared" si="31"/>
        <v>304.36</v>
      </c>
      <c r="BC12" s="715">
        <f t="shared" si="31"/>
        <v>283.14</v>
      </c>
      <c r="BD12" s="715">
        <f t="shared" si="31"/>
        <v>304.36</v>
      </c>
      <c r="BE12" s="717">
        <f t="shared" si="31"/>
        <v>283.14</v>
      </c>
      <c r="BF12" s="712">
        <f t="shared" si="31"/>
        <v>637.9200000000001</v>
      </c>
      <c r="BG12" s="712">
        <f t="shared" si="31"/>
        <v>381.27</v>
      </c>
      <c r="BH12" s="712">
        <f t="shared" si="31"/>
        <v>637.9200000000001</v>
      </c>
      <c r="BI12" s="714">
        <f t="shared" si="31"/>
        <v>381.27</v>
      </c>
      <c r="BJ12" s="711">
        <f t="shared" si="31"/>
        <v>1378.96</v>
      </c>
      <c r="BK12" s="712">
        <f t="shared" si="31"/>
        <v>89.52</v>
      </c>
      <c r="BL12" s="712">
        <f t="shared" si="31"/>
        <v>1378.96</v>
      </c>
      <c r="BM12" s="713">
        <f t="shared" si="31"/>
        <v>89.52</v>
      </c>
      <c r="BN12" s="711">
        <f aca="true" t="shared" si="32" ref="BN12:CO12">SUM(BN5:BN11)</f>
        <v>82.682</v>
      </c>
      <c r="BO12" s="712">
        <f t="shared" si="32"/>
        <v>36.449999999999996</v>
      </c>
      <c r="BP12" s="712">
        <f t="shared" si="32"/>
        <v>82.682</v>
      </c>
      <c r="BQ12" s="713">
        <f t="shared" si="32"/>
        <v>36.449999999999996</v>
      </c>
      <c r="BR12" s="711">
        <f t="shared" si="32"/>
        <v>13.87</v>
      </c>
      <c r="BS12" s="712">
        <f t="shared" si="32"/>
        <v>30.72</v>
      </c>
      <c r="BT12" s="712">
        <f t="shared" si="32"/>
        <v>13.87</v>
      </c>
      <c r="BU12" s="713">
        <f t="shared" si="32"/>
        <v>30.72</v>
      </c>
      <c r="BV12" s="711">
        <f t="shared" si="32"/>
        <v>0</v>
      </c>
      <c r="BW12" s="712">
        <f t="shared" si="32"/>
        <v>0</v>
      </c>
      <c r="BX12" s="712">
        <f t="shared" si="32"/>
        <v>0</v>
      </c>
      <c r="BY12" s="713">
        <f t="shared" si="32"/>
        <v>0</v>
      </c>
      <c r="BZ12" s="718">
        <f t="shared" si="32"/>
        <v>1283</v>
      </c>
      <c r="CA12" s="1497">
        <f t="shared" si="32"/>
        <v>750</v>
      </c>
      <c r="CB12" s="1497">
        <f t="shared" si="32"/>
        <v>1283</v>
      </c>
      <c r="CC12" s="1498">
        <f t="shared" si="32"/>
        <v>750</v>
      </c>
      <c r="CD12" s="711">
        <f t="shared" si="32"/>
        <v>51.86</v>
      </c>
      <c r="CE12" s="712">
        <f t="shared" si="32"/>
        <v>67.50999999999999</v>
      </c>
      <c r="CF12" s="712">
        <f t="shared" si="32"/>
        <v>51.86</v>
      </c>
      <c r="CG12" s="713">
        <f t="shared" si="32"/>
        <v>67.50999999999999</v>
      </c>
      <c r="CH12" s="711">
        <f t="shared" si="32"/>
        <v>21.099999999999998</v>
      </c>
      <c r="CI12" s="712">
        <f t="shared" si="32"/>
        <v>11.14</v>
      </c>
      <c r="CJ12" s="712">
        <f t="shared" si="32"/>
        <v>21.099999999999998</v>
      </c>
      <c r="CK12" s="714">
        <f t="shared" si="32"/>
        <v>11.14</v>
      </c>
      <c r="CL12" s="711">
        <f t="shared" si="32"/>
        <v>22.340000000000003</v>
      </c>
      <c r="CM12" s="715">
        <f t="shared" si="32"/>
        <v>22.52</v>
      </c>
      <c r="CN12" s="715">
        <f t="shared" si="32"/>
        <v>22.340000000000003</v>
      </c>
      <c r="CO12" s="717">
        <f t="shared" si="32"/>
        <v>22.52</v>
      </c>
      <c r="CP12" s="1508">
        <f t="shared" si="21"/>
        <v>10819.192200000003</v>
      </c>
      <c r="CQ12" s="1508">
        <f t="shared" si="10"/>
        <v>6705.163700000002</v>
      </c>
      <c r="CR12" s="1508">
        <f t="shared" si="10"/>
        <v>10819.192200000003</v>
      </c>
      <c r="CS12" s="1508">
        <f t="shared" si="10"/>
        <v>6705.163700000002</v>
      </c>
      <c r="CT12" s="719">
        <f>SUM(CT5:CT11)</f>
        <v>35646.51</v>
      </c>
      <c r="CU12" s="719">
        <f>SUM(CU5:CU11)</f>
        <v>16164.45</v>
      </c>
      <c r="CV12" s="719">
        <f>SUM(CV5:CV11)</f>
        <v>35646.51</v>
      </c>
      <c r="CW12" s="719">
        <f>SUM(CW5:CW11)</f>
        <v>16164.45</v>
      </c>
      <c r="CX12" s="711">
        <f t="shared" si="22"/>
        <v>46465.70220000001</v>
      </c>
      <c r="CY12" s="715">
        <f t="shared" si="23"/>
        <v>22869.6137</v>
      </c>
      <c r="CZ12" s="715">
        <f t="shared" si="24"/>
        <v>46465.70220000001</v>
      </c>
      <c r="DA12" s="717">
        <f t="shared" si="25"/>
        <v>22869.6137</v>
      </c>
    </row>
    <row r="13" spans="1:105" s="126" customFormat="1" ht="13.5">
      <c r="A13" s="137" t="s">
        <v>11</v>
      </c>
      <c r="B13" s="585"/>
      <c r="C13" s="116"/>
      <c r="D13" s="116"/>
      <c r="E13" s="138"/>
      <c r="F13" s="45"/>
      <c r="G13" s="8"/>
      <c r="H13" s="8"/>
      <c r="I13" s="127"/>
      <c r="J13" s="7"/>
      <c r="K13" s="8"/>
      <c r="L13" s="8"/>
      <c r="M13" s="9"/>
      <c r="N13" s="7"/>
      <c r="O13" s="8"/>
      <c r="P13" s="8"/>
      <c r="Q13" s="9"/>
      <c r="R13" s="45"/>
      <c r="S13" s="8"/>
      <c r="T13" s="8"/>
      <c r="U13" s="127"/>
      <c r="V13" s="7"/>
      <c r="W13" s="8"/>
      <c r="X13" s="8"/>
      <c r="Y13" s="9"/>
      <c r="Z13" s="7"/>
      <c r="AA13" s="8"/>
      <c r="AB13" s="8"/>
      <c r="AC13" s="127"/>
      <c r="AD13" s="7"/>
      <c r="AE13" s="8"/>
      <c r="AF13" s="8"/>
      <c r="AG13" s="9"/>
      <c r="AH13" s="10"/>
      <c r="AI13" s="11"/>
      <c r="AJ13" s="11"/>
      <c r="AK13" s="12"/>
      <c r="AL13" s="586"/>
      <c r="AM13" s="11"/>
      <c r="AN13" s="11"/>
      <c r="AO13" s="589"/>
      <c r="AP13" s="10"/>
      <c r="AQ13" s="11"/>
      <c r="AR13" s="11"/>
      <c r="AS13" s="12"/>
      <c r="AT13" s="10"/>
      <c r="AU13" s="11"/>
      <c r="AV13" s="11"/>
      <c r="AW13" s="12"/>
      <c r="AX13" s="10"/>
      <c r="AY13" s="11"/>
      <c r="AZ13" s="11"/>
      <c r="BA13" s="12"/>
      <c r="BB13" s="587"/>
      <c r="BC13" s="638"/>
      <c r="BD13" s="638"/>
      <c r="BE13" s="639"/>
      <c r="BF13" s="45"/>
      <c r="BG13" s="8"/>
      <c r="BH13" s="8"/>
      <c r="BI13" s="127"/>
      <c r="BJ13" s="7"/>
      <c r="BK13" s="8"/>
      <c r="BL13" s="8"/>
      <c r="BM13" s="9"/>
      <c r="BN13" s="7"/>
      <c r="BO13" s="8">
        <v>0.003</v>
      </c>
      <c r="BP13" s="8"/>
      <c r="BQ13" s="9">
        <v>-0.003</v>
      </c>
      <c r="BR13" s="7"/>
      <c r="BS13" s="8"/>
      <c r="BT13" s="8"/>
      <c r="BU13" s="9"/>
      <c r="BV13" s="136"/>
      <c r="BW13" s="8"/>
      <c r="BX13" s="8"/>
      <c r="BY13" s="9"/>
      <c r="BZ13" s="1059"/>
      <c r="CA13" s="120"/>
      <c r="CB13" s="120"/>
      <c r="CC13" s="121"/>
      <c r="CD13" s="128"/>
      <c r="CE13" s="129"/>
      <c r="CF13" s="129"/>
      <c r="CG13" s="130"/>
      <c r="CH13" s="131"/>
      <c r="CI13" s="132"/>
      <c r="CJ13" s="132"/>
      <c r="CK13" s="1372"/>
      <c r="CL13" s="7"/>
      <c r="CM13" s="8"/>
      <c r="CN13" s="8"/>
      <c r="CO13" s="9"/>
      <c r="CP13" s="1508">
        <f aca="true" t="shared" si="33" ref="CP13:CS14">SUM(B13+F13+J13+N13+R13+V13+Z13+AD13+AH13+AL13+AP13+AT13+AX13+AD13+BF13+BJ13+BN13+BR13+BV13+BZ13+CD13+CH13+B13)</f>
        <v>0</v>
      </c>
      <c r="CQ13" s="1508">
        <f t="shared" si="33"/>
        <v>0.003</v>
      </c>
      <c r="CR13" s="1508">
        <f t="shared" si="33"/>
        <v>0</v>
      </c>
      <c r="CS13" s="1508">
        <f t="shared" si="33"/>
        <v>-0.003</v>
      </c>
      <c r="CT13" s="131"/>
      <c r="CU13" s="132"/>
      <c r="CV13" s="132"/>
      <c r="CW13" s="133"/>
      <c r="CX13" s="113">
        <f t="shared" si="22"/>
        <v>0</v>
      </c>
      <c r="CY13" s="53">
        <f t="shared" si="23"/>
        <v>0.003</v>
      </c>
      <c r="CZ13" s="53">
        <f t="shared" si="24"/>
        <v>0</v>
      </c>
      <c r="DA13" s="125">
        <f t="shared" si="25"/>
        <v>-0.003</v>
      </c>
    </row>
    <row r="14" spans="1:105" s="720" customFormat="1" ht="14.25" thickBot="1">
      <c r="A14" s="709" t="s">
        <v>12</v>
      </c>
      <c r="B14" s="721">
        <f>B12+B13</f>
        <v>187.71999999999997</v>
      </c>
      <c r="C14" s="722">
        <f aca="true" t="shared" si="34" ref="C14:BN14">C12+C13</f>
        <v>392.91</v>
      </c>
      <c r="D14" s="722">
        <f t="shared" si="34"/>
        <v>187.71999999999997</v>
      </c>
      <c r="E14" s="723">
        <f t="shared" si="34"/>
        <v>392.91</v>
      </c>
      <c r="F14" s="722">
        <f t="shared" si="34"/>
        <v>4.029999999999999</v>
      </c>
      <c r="G14" s="722">
        <f t="shared" si="34"/>
        <v>3.3</v>
      </c>
      <c r="H14" s="722">
        <f t="shared" si="34"/>
        <v>4.029999999999999</v>
      </c>
      <c r="I14" s="724">
        <f t="shared" si="34"/>
        <v>3.3</v>
      </c>
      <c r="J14" s="721">
        <f t="shared" si="34"/>
        <v>19.1802</v>
      </c>
      <c r="K14" s="722">
        <f t="shared" si="34"/>
        <v>20.6737</v>
      </c>
      <c r="L14" s="722">
        <f t="shared" si="34"/>
        <v>19.1802</v>
      </c>
      <c r="M14" s="723">
        <f t="shared" si="34"/>
        <v>20.6737</v>
      </c>
      <c r="N14" s="721">
        <f t="shared" si="34"/>
        <v>667</v>
      </c>
      <c r="O14" s="722">
        <f t="shared" si="34"/>
        <v>425</v>
      </c>
      <c r="P14" s="722">
        <f t="shared" si="34"/>
        <v>667</v>
      </c>
      <c r="Q14" s="723">
        <f t="shared" si="34"/>
        <v>425</v>
      </c>
      <c r="R14" s="722">
        <f t="shared" si="34"/>
        <v>60</v>
      </c>
      <c r="S14" s="722">
        <f t="shared" si="34"/>
        <v>64</v>
      </c>
      <c r="T14" s="722">
        <f t="shared" si="34"/>
        <v>60</v>
      </c>
      <c r="U14" s="724">
        <f t="shared" si="34"/>
        <v>64</v>
      </c>
      <c r="V14" s="721">
        <f t="shared" si="34"/>
        <v>250.86</v>
      </c>
      <c r="W14" s="722">
        <f t="shared" si="34"/>
        <v>140.39</v>
      </c>
      <c r="X14" s="722">
        <f t="shared" si="34"/>
        <v>250.86</v>
      </c>
      <c r="Y14" s="723">
        <f t="shared" si="34"/>
        <v>140.39</v>
      </c>
      <c r="Z14" s="721">
        <f t="shared" si="34"/>
        <v>102.63</v>
      </c>
      <c r="AA14" s="725">
        <f t="shared" si="34"/>
        <v>286.57000000000005</v>
      </c>
      <c r="AB14" s="725">
        <f t="shared" si="34"/>
        <v>102.63</v>
      </c>
      <c r="AC14" s="726">
        <f t="shared" si="34"/>
        <v>286.57000000000005</v>
      </c>
      <c r="AD14" s="721">
        <f>AD12+AD13</f>
        <v>9.22</v>
      </c>
      <c r="AE14" s="722">
        <f>AE12+AE13</f>
        <v>18.79</v>
      </c>
      <c r="AF14" s="722">
        <f>AF12+AF13</f>
        <v>9.22</v>
      </c>
      <c r="AG14" s="723">
        <f>AG12+AG13</f>
        <v>18.79</v>
      </c>
      <c r="AH14" s="721">
        <f t="shared" si="34"/>
        <v>12.330000000000002</v>
      </c>
      <c r="AI14" s="725">
        <f t="shared" si="34"/>
        <v>19.82</v>
      </c>
      <c r="AJ14" s="725">
        <f t="shared" si="34"/>
        <v>12.330000000000002</v>
      </c>
      <c r="AK14" s="727">
        <f t="shared" si="34"/>
        <v>19.82</v>
      </c>
      <c r="AL14" s="722">
        <f t="shared" si="34"/>
        <v>92.78</v>
      </c>
      <c r="AM14" s="722">
        <f t="shared" si="34"/>
        <v>52.46</v>
      </c>
      <c r="AN14" s="722">
        <f t="shared" si="34"/>
        <v>92.78</v>
      </c>
      <c r="AO14" s="724">
        <f t="shared" si="34"/>
        <v>52.46</v>
      </c>
      <c r="AP14" s="721">
        <f t="shared" si="34"/>
        <v>1988.9</v>
      </c>
      <c r="AQ14" s="722">
        <f t="shared" si="34"/>
        <v>1442.22</v>
      </c>
      <c r="AR14" s="722">
        <f t="shared" si="34"/>
        <v>1988.9</v>
      </c>
      <c r="AS14" s="723">
        <f t="shared" si="34"/>
        <v>1442.22</v>
      </c>
      <c r="AT14" s="721">
        <f t="shared" si="34"/>
        <v>753</v>
      </c>
      <c r="AU14" s="722">
        <f t="shared" si="34"/>
        <v>278</v>
      </c>
      <c r="AV14" s="722">
        <f t="shared" si="34"/>
        <v>753</v>
      </c>
      <c r="AW14" s="723">
        <f t="shared" si="34"/>
        <v>278</v>
      </c>
      <c r="AX14" s="721">
        <f t="shared" si="34"/>
        <v>3005.21</v>
      </c>
      <c r="AY14" s="722">
        <f t="shared" si="34"/>
        <v>1782.72</v>
      </c>
      <c r="AZ14" s="722">
        <f t="shared" si="34"/>
        <v>3005.21</v>
      </c>
      <c r="BA14" s="723">
        <f t="shared" si="34"/>
        <v>1782.72</v>
      </c>
      <c r="BB14" s="721">
        <f t="shared" si="34"/>
        <v>304.36</v>
      </c>
      <c r="BC14" s="725">
        <f t="shared" si="34"/>
        <v>283.14</v>
      </c>
      <c r="BD14" s="725">
        <f t="shared" si="34"/>
        <v>304.36</v>
      </c>
      <c r="BE14" s="727">
        <f t="shared" si="34"/>
        <v>283.14</v>
      </c>
      <c r="BF14" s="722">
        <f t="shared" si="34"/>
        <v>637.9200000000001</v>
      </c>
      <c r="BG14" s="722">
        <f t="shared" si="34"/>
        <v>381.27</v>
      </c>
      <c r="BH14" s="722">
        <f t="shared" si="34"/>
        <v>637.9200000000001</v>
      </c>
      <c r="BI14" s="724">
        <f t="shared" si="34"/>
        <v>381.27</v>
      </c>
      <c r="BJ14" s="721">
        <f t="shared" si="34"/>
        <v>1378.96</v>
      </c>
      <c r="BK14" s="722">
        <f t="shared" si="34"/>
        <v>89.52</v>
      </c>
      <c r="BL14" s="722">
        <f t="shared" si="34"/>
        <v>1378.96</v>
      </c>
      <c r="BM14" s="723">
        <f t="shared" si="34"/>
        <v>89.52</v>
      </c>
      <c r="BN14" s="721">
        <f t="shared" si="34"/>
        <v>82.682</v>
      </c>
      <c r="BO14" s="722">
        <f aca="true" t="shared" si="35" ref="BO14:CO14">BO12+BO13</f>
        <v>36.452999999999996</v>
      </c>
      <c r="BP14" s="722">
        <f t="shared" si="35"/>
        <v>82.682</v>
      </c>
      <c r="BQ14" s="723">
        <f t="shared" si="35"/>
        <v>36.446999999999996</v>
      </c>
      <c r="BR14" s="721">
        <f t="shared" si="35"/>
        <v>13.87</v>
      </c>
      <c r="BS14" s="722">
        <f t="shared" si="35"/>
        <v>30.72</v>
      </c>
      <c r="BT14" s="722">
        <f t="shared" si="35"/>
        <v>13.87</v>
      </c>
      <c r="BU14" s="723">
        <f t="shared" si="35"/>
        <v>30.72</v>
      </c>
      <c r="BV14" s="721">
        <f t="shared" si="35"/>
        <v>0</v>
      </c>
      <c r="BW14" s="722">
        <f t="shared" si="35"/>
        <v>0</v>
      </c>
      <c r="BX14" s="722">
        <f t="shared" si="35"/>
        <v>0</v>
      </c>
      <c r="BY14" s="723">
        <f t="shared" si="35"/>
        <v>0</v>
      </c>
      <c r="BZ14" s="721">
        <f t="shared" si="35"/>
        <v>1283</v>
      </c>
      <c r="CA14" s="722">
        <f t="shared" si="35"/>
        <v>750</v>
      </c>
      <c r="CB14" s="722">
        <f t="shared" si="35"/>
        <v>1283</v>
      </c>
      <c r="CC14" s="723">
        <f t="shared" si="35"/>
        <v>750</v>
      </c>
      <c r="CD14" s="721">
        <f t="shared" si="35"/>
        <v>51.86</v>
      </c>
      <c r="CE14" s="722">
        <f t="shared" si="35"/>
        <v>67.50999999999999</v>
      </c>
      <c r="CF14" s="722">
        <f t="shared" si="35"/>
        <v>51.86</v>
      </c>
      <c r="CG14" s="723">
        <f t="shared" si="35"/>
        <v>67.50999999999999</v>
      </c>
      <c r="CH14" s="721">
        <f t="shared" si="35"/>
        <v>21.099999999999998</v>
      </c>
      <c r="CI14" s="722">
        <f t="shared" si="35"/>
        <v>11.14</v>
      </c>
      <c r="CJ14" s="722">
        <f t="shared" si="35"/>
        <v>21.099999999999998</v>
      </c>
      <c r="CK14" s="724">
        <f t="shared" si="35"/>
        <v>11.14</v>
      </c>
      <c r="CL14" s="721">
        <f t="shared" si="35"/>
        <v>22.340000000000003</v>
      </c>
      <c r="CM14" s="725">
        <f t="shared" si="35"/>
        <v>22.52</v>
      </c>
      <c r="CN14" s="725">
        <f t="shared" si="35"/>
        <v>22.340000000000003</v>
      </c>
      <c r="CO14" s="727">
        <f t="shared" si="35"/>
        <v>22.52</v>
      </c>
      <c r="CP14" s="1508">
        <f t="shared" si="33"/>
        <v>10819.192200000003</v>
      </c>
      <c r="CQ14" s="1508">
        <f t="shared" si="33"/>
        <v>6705.1667000000025</v>
      </c>
      <c r="CR14" s="1508">
        <f t="shared" si="33"/>
        <v>10819.192200000003</v>
      </c>
      <c r="CS14" s="1508">
        <f t="shared" si="33"/>
        <v>6705.160700000002</v>
      </c>
      <c r="CT14" s="728">
        <f>CT12+CT13</f>
        <v>35646.51</v>
      </c>
      <c r="CU14" s="728">
        <f>CU12+CU13</f>
        <v>16164.45</v>
      </c>
      <c r="CV14" s="728">
        <f>CV12+CV13</f>
        <v>35646.51</v>
      </c>
      <c r="CW14" s="728">
        <f>CW12+CW13</f>
        <v>16164.45</v>
      </c>
      <c r="CX14" s="721">
        <f t="shared" si="22"/>
        <v>46465.70220000001</v>
      </c>
      <c r="CY14" s="725">
        <f t="shared" si="23"/>
        <v>22869.616700000002</v>
      </c>
      <c r="CZ14" s="725">
        <f t="shared" si="24"/>
        <v>46465.70220000001</v>
      </c>
      <c r="DA14" s="727">
        <f t="shared" si="25"/>
        <v>22869.610700000005</v>
      </c>
    </row>
  </sheetData>
  <sheetProtection/>
  <mergeCells count="29">
    <mergeCell ref="R3:U3"/>
    <mergeCell ref="V3:Y3"/>
    <mergeCell ref="Z3:AC3"/>
    <mergeCell ref="BB3:BE3"/>
    <mergeCell ref="BF3:BI3"/>
    <mergeCell ref="BJ3:BM3"/>
    <mergeCell ref="AP3:AS3"/>
    <mergeCell ref="AT3:AW3"/>
    <mergeCell ref="AX3:BA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A44"/>
  <sheetViews>
    <sheetView zoomScalePageLayoutView="0" workbookViewId="0" topLeftCell="A1">
      <pane xSplit="1" topLeftCell="BN1" activePane="topRight" state="frozen"/>
      <selection pane="topLeft" activeCell="A1" sqref="A1"/>
      <selection pane="topRight" activeCell="BO36" sqref="BO36"/>
    </sheetView>
  </sheetViews>
  <sheetFormatPr defaultColWidth="9.140625" defaultRowHeight="15"/>
  <cols>
    <col min="1" max="1" width="27.421875" style="51" bestFit="1" customWidth="1"/>
    <col min="2" max="3" width="11.421875" style="51" bestFit="1" customWidth="1"/>
    <col min="4" max="4" width="12.421875" style="51" bestFit="1" customWidth="1"/>
    <col min="5" max="5" width="12.8515625" style="51" bestFit="1" customWidth="1"/>
    <col min="6" max="7" width="11.7109375" style="51" bestFit="1" customWidth="1"/>
    <col min="8" max="9" width="12.8515625" style="51" bestFit="1" customWidth="1"/>
    <col min="10" max="11" width="11.7109375" style="51" bestFit="1" customWidth="1"/>
    <col min="12" max="13" width="12.8515625" style="51" bestFit="1" customWidth="1"/>
    <col min="14" max="14" width="11.421875" style="51" bestFit="1" customWidth="1"/>
    <col min="15" max="15" width="11.7109375" style="51" bestFit="1" customWidth="1"/>
    <col min="16" max="16" width="12.421875" style="51" bestFit="1" customWidth="1"/>
    <col min="17" max="17" width="12.8515625" style="51" bestFit="1" customWidth="1"/>
    <col min="18" max="19" width="11.7109375" style="51" bestFit="1" customWidth="1"/>
    <col min="20" max="21" width="12.8515625" style="51" bestFit="1" customWidth="1"/>
    <col min="22" max="23" width="11.7109375" style="51" bestFit="1" customWidth="1"/>
    <col min="24" max="25" width="12.8515625" style="51" bestFit="1" customWidth="1"/>
    <col min="26" max="27" width="11.7109375" style="51" bestFit="1" customWidth="1"/>
    <col min="28" max="28" width="12.8515625" style="51" bestFit="1" customWidth="1"/>
    <col min="29" max="29" width="13.28125" style="51" bestFit="1" customWidth="1"/>
    <col min="30" max="31" width="11.7109375" style="51" bestFit="1" customWidth="1"/>
    <col min="32" max="32" width="12.8515625" style="51" bestFit="1" customWidth="1"/>
    <col min="33" max="33" width="13.28125" style="51" bestFit="1" customWidth="1"/>
    <col min="34" max="35" width="11.7109375" style="51" bestFit="1" customWidth="1"/>
    <col min="36" max="36" width="12.8515625" style="51" bestFit="1" customWidth="1"/>
    <col min="37" max="37" width="13.28125" style="51" bestFit="1" customWidth="1"/>
    <col min="38" max="39" width="11.7109375" style="51" bestFit="1" customWidth="1"/>
    <col min="40" max="41" width="12.8515625" style="51" bestFit="1" customWidth="1"/>
    <col min="42" max="43" width="11.421875" style="51" bestFit="1" customWidth="1"/>
    <col min="44" max="45" width="12.8515625" style="51" bestFit="1" customWidth="1"/>
    <col min="46" max="47" width="11.7109375" style="51" bestFit="1" customWidth="1"/>
    <col min="48" max="49" width="12.8515625" style="51" bestFit="1" customWidth="1"/>
    <col min="50" max="51" width="11.7109375" style="51" bestFit="1" customWidth="1"/>
    <col min="52" max="53" width="12.8515625" style="51" bestFit="1" customWidth="1"/>
    <col min="54" max="55" width="11.7109375" style="51" bestFit="1" customWidth="1"/>
    <col min="56" max="57" width="12.8515625" style="51" bestFit="1" customWidth="1"/>
    <col min="58" max="59" width="11.7109375" style="51" bestFit="1" customWidth="1"/>
    <col min="60" max="61" width="12.8515625" style="51" bestFit="1" customWidth="1"/>
    <col min="62" max="63" width="11.7109375" style="51" bestFit="1" customWidth="1"/>
    <col min="64" max="64" width="12.8515625" style="51" bestFit="1" customWidth="1"/>
    <col min="65" max="65" width="13.28125" style="51" bestFit="1" customWidth="1"/>
    <col min="66" max="67" width="11.7109375" style="51" bestFit="1" customWidth="1"/>
    <col min="68" max="69" width="12.8515625" style="51" bestFit="1" customWidth="1"/>
    <col min="70" max="71" width="11.7109375" style="51" bestFit="1" customWidth="1"/>
    <col min="72" max="72" width="12.8515625" style="51" bestFit="1" customWidth="1"/>
    <col min="73" max="73" width="13.28125" style="51" bestFit="1" customWidth="1"/>
    <col min="74" max="75" width="11.7109375" style="51" bestFit="1" customWidth="1"/>
    <col min="76" max="76" width="12.8515625" style="51" bestFit="1" customWidth="1"/>
    <col min="77" max="77" width="13.28125" style="51" bestFit="1" customWidth="1"/>
    <col min="78" max="79" width="11.7109375" style="316" bestFit="1" customWidth="1"/>
    <col min="80" max="81" width="12.8515625" style="316" bestFit="1" customWidth="1"/>
    <col min="82" max="83" width="11.7109375" style="51" bestFit="1" customWidth="1"/>
    <col min="84" max="84" width="12.8515625" style="51" bestFit="1" customWidth="1"/>
    <col min="85" max="85" width="13.28125" style="51" bestFit="1" customWidth="1"/>
    <col min="86" max="87" width="11.7109375" style="51" bestFit="1" customWidth="1"/>
    <col min="88" max="88" width="12.8515625" style="51" bestFit="1" customWidth="1"/>
    <col min="89" max="89" width="13.28125" style="51" bestFit="1" customWidth="1"/>
    <col min="90" max="91" width="11.7109375" style="51" bestFit="1" customWidth="1"/>
    <col min="92" max="93" width="12.8515625" style="51" bestFit="1" customWidth="1"/>
    <col min="94" max="95" width="11.7109375" style="51" bestFit="1" customWidth="1"/>
    <col min="96" max="97" width="12.8515625" style="51" bestFit="1" customWidth="1"/>
    <col min="98" max="99" width="11.7109375" style="51" bestFit="1" customWidth="1"/>
    <col min="100" max="101" width="12.8515625" style="51" bestFit="1" customWidth="1"/>
    <col min="102" max="103" width="11.7109375" style="51" bestFit="1" customWidth="1"/>
    <col min="104" max="105" width="12.8515625" style="51" bestFit="1" customWidth="1"/>
    <col min="106" max="16384" width="9.140625" style="51" customWidth="1"/>
  </cols>
  <sheetData>
    <row r="1" spans="1:103" ht="14.25">
      <c r="A1" s="1895" t="s">
        <v>180</v>
      </c>
      <c r="B1" s="1895"/>
      <c r="C1" s="1895"/>
      <c r="D1" s="1895"/>
      <c r="E1" s="1895"/>
      <c r="F1" s="1895"/>
      <c r="G1" s="1895"/>
      <c r="H1" s="1895"/>
      <c r="I1" s="1895"/>
      <c r="J1" s="1895"/>
      <c r="K1" s="1895"/>
      <c r="L1" s="1895"/>
      <c r="M1" s="1895"/>
      <c r="N1" s="1895"/>
      <c r="O1" s="1895"/>
      <c r="P1" s="1895"/>
      <c r="Q1" s="1895"/>
      <c r="R1" s="1895"/>
      <c r="S1" s="1895"/>
      <c r="T1" s="1895"/>
      <c r="U1" s="1895"/>
      <c r="V1" s="1895"/>
      <c r="W1" s="1895"/>
      <c r="X1" s="1895"/>
      <c r="Y1" s="1895"/>
      <c r="Z1" s="1895"/>
      <c r="AA1" s="1895"/>
      <c r="AB1" s="1895"/>
      <c r="AC1" s="1895"/>
      <c r="AD1" s="1895"/>
      <c r="AE1" s="1895"/>
      <c r="AF1" s="1895"/>
      <c r="AG1" s="1895"/>
      <c r="AH1" s="1895"/>
      <c r="AI1" s="1895"/>
      <c r="AJ1" s="1895"/>
      <c r="AK1" s="1895"/>
      <c r="AL1" s="1895"/>
      <c r="AM1" s="1895"/>
      <c r="AN1" s="1895"/>
      <c r="AO1" s="1895"/>
      <c r="AP1" s="1895"/>
      <c r="AQ1" s="1895"/>
      <c r="AR1" s="1895"/>
      <c r="AS1" s="1895"/>
      <c r="AT1" s="1895"/>
      <c r="AU1" s="1895"/>
      <c r="AV1" s="1895"/>
      <c r="AW1" s="1895"/>
      <c r="AX1" s="1895"/>
      <c r="AY1" s="1895"/>
      <c r="AZ1" s="1895"/>
      <c r="BA1" s="1895"/>
      <c r="BB1" s="1895"/>
      <c r="BC1" s="1895"/>
      <c r="BD1" s="1895"/>
      <c r="BE1" s="1895"/>
      <c r="BF1" s="1895"/>
      <c r="BG1" s="1895"/>
      <c r="BH1" s="1895"/>
      <c r="BI1" s="1895"/>
      <c r="BJ1" s="1895"/>
      <c r="BK1" s="1895"/>
      <c r="BL1" s="1895"/>
      <c r="BM1" s="1895"/>
      <c r="BN1" s="1895"/>
      <c r="BO1" s="1895"/>
      <c r="BP1" s="1895"/>
      <c r="BQ1" s="1895"/>
      <c r="BR1" s="1895"/>
      <c r="BS1" s="1895"/>
      <c r="BT1" s="1895"/>
      <c r="BU1" s="1895"/>
      <c r="BV1" s="1895"/>
      <c r="BW1" s="1895"/>
      <c r="BX1" s="1895"/>
      <c r="BY1" s="1895"/>
      <c r="BZ1" s="1895"/>
      <c r="CA1" s="1895"/>
      <c r="CB1" s="1895"/>
      <c r="CC1" s="1895"/>
      <c r="CD1" s="1895"/>
      <c r="CE1" s="1895"/>
      <c r="CF1" s="1895"/>
      <c r="CG1" s="1895"/>
      <c r="CH1" s="1895"/>
      <c r="CI1" s="1895"/>
      <c r="CJ1" s="1895"/>
      <c r="CK1" s="1895"/>
      <c r="CL1" s="1895"/>
      <c r="CM1" s="1895"/>
      <c r="CN1" s="1895"/>
      <c r="CO1" s="1895"/>
      <c r="CP1" s="1895"/>
      <c r="CQ1" s="1895"/>
      <c r="CR1" s="1895"/>
      <c r="CS1" s="1895"/>
      <c r="CT1" s="1895"/>
      <c r="CU1" s="1895"/>
      <c r="CV1" s="1895"/>
      <c r="CW1" s="1895"/>
      <c r="CX1" s="1895"/>
      <c r="CY1" s="1895"/>
    </row>
    <row r="2" spans="1:103" ht="15" thickBot="1">
      <c r="A2" s="1896" t="s">
        <v>181</v>
      </c>
      <c r="B2" s="1896"/>
      <c r="C2" s="1896"/>
      <c r="D2" s="1896"/>
      <c r="E2" s="1896"/>
      <c r="F2" s="1896"/>
      <c r="G2" s="1896"/>
      <c r="H2" s="1896"/>
      <c r="I2" s="1896"/>
      <c r="J2" s="1896"/>
      <c r="K2" s="1896"/>
      <c r="L2" s="1896"/>
      <c r="M2" s="1896"/>
      <c r="N2" s="1896"/>
      <c r="O2" s="1896"/>
      <c r="P2" s="1896"/>
      <c r="Q2" s="1896"/>
      <c r="R2" s="1896"/>
      <c r="S2" s="1896"/>
      <c r="T2" s="1896"/>
      <c r="U2" s="1896"/>
      <c r="V2" s="1896"/>
      <c r="W2" s="1896"/>
      <c r="X2" s="1896"/>
      <c r="Y2" s="1896"/>
      <c r="Z2" s="1896"/>
      <c r="AA2" s="1896"/>
      <c r="AB2" s="1896"/>
      <c r="AC2" s="1896"/>
      <c r="AD2" s="1896"/>
      <c r="AE2" s="1896"/>
      <c r="AF2" s="1896"/>
      <c r="AG2" s="1896"/>
      <c r="AH2" s="1896"/>
      <c r="AI2" s="1896"/>
      <c r="AJ2" s="1896"/>
      <c r="AK2" s="1896"/>
      <c r="AL2" s="1896"/>
      <c r="AM2" s="1896"/>
      <c r="AN2" s="1896"/>
      <c r="AO2" s="1896"/>
      <c r="AP2" s="1896"/>
      <c r="AQ2" s="1896"/>
      <c r="AR2" s="1896"/>
      <c r="AS2" s="1896"/>
      <c r="AT2" s="1896"/>
      <c r="AU2" s="1896"/>
      <c r="AV2" s="1896"/>
      <c r="AW2" s="1896"/>
      <c r="AX2" s="1896"/>
      <c r="AY2" s="1896"/>
      <c r="AZ2" s="1896"/>
      <c r="BA2" s="1896"/>
      <c r="BB2" s="1896"/>
      <c r="BC2" s="1896"/>
      <c r="BD2" s="1896"/>
      <c r="BE2" s="1896"/>
      <c r="BF2" s="1896"/>
      <c r="BG2" s="1896"/>
      <c r="BH2" s="1896"/>
      <c r="BI2" s="1896"/>
      <c r="BJ2" s="1896"/>
      <c r="BK2" s="1896"/>
      <c r="BL2" s="1896"/>
      <c r="BM2" s="1896"/>
      <c r="BN2" s="1896"/>
      <c r="BO2" s="1896"/>
      <c r="BP2" s="1896"/>
      <c r="BQ2" s="1896"/>
      <c r="BR2" s="1896"/>
      <c r="BS2" s="1896"/>
      <c r="BT2" s="1896"/>
      <c r="BU2" s="1896"/>
      <c r="BV2" s="1896"/>
      <c r="BW2" s="1896"/>
      <c r="BX2" s="1896"/>
      <c r="BY2" s="1896"/>
      <c r="BZ2" s="1896"/>
      <c r="CA2" s="1896"/>
      <c r="CB2" s="1896"/>
      <c r="CC2" s="1896"/>
      <c r="CD2" s="1896"/>
      <c r="CE2" s="1896"/>
      <c r="CF2" s="1896"/>
      <c r="CG2" s="1896"/>
      <c r="CH2" s="1896"/>
      <c r="CI2" s="1896"/>
      <c r="CJ2" s="1896"/>
      <c r="CK2" s="1896"/>
      <c r="CL2" s="1896"/>
      <c r="CM2" s="1896"/>
      <c r="CN2" s="1896"/>
      <c r="CO2" s="1896"/>
      <c r="CP2" s="1896"/>
      <c r="CQ2" s="1896"/>
      <c r="CR2" s="1896"/>
      <c r="CS2" s="1896"/>
      <c r="CT2" s="1896"/>
      <c r="CU2" s="1896"/>
      <c r="CV2" s="1896"/>
      <c r="CW2" s="1896"/>
      <c r="CX2" s="1896"/>
      <c r="CY2" s="1896"/>
    </row>
    <row r="3" spans="1:105" ht="30" customHeight="1" thickBot="1">
      <c r="A3" s="1897" t="s">
        <v>0</v>
      </c>
      <c r="B3" s="1899" t="s">
        <v>187</v>
      </c>
      <c r="C3" s="1900"/>
      <c r="D3" s="1900"/>
      <c r="E3" s="1901"/>
      <c r="F3" s="1885" t="s">
        <v>188</v>
      </c>
      <c r="G3" s="1885"/>
      <c r="H3" s="1885"/>
      <c r="I3" s="1886"/>
      <c r="J3" s="1885" t="s">
        <v>189</v>
      </c>
      <c r="K3" s="1885"/>
      <c r="L3" s="1885"/>
      <c r="M3" s="1886"/>
      <c r="N3" s="1890" t="s">
        <v>190</v>
      </c>
      <c r="O3" s="1890"/>
      <c r="P3" s="1890"/>
      <c r="Q3" s="1891"/>
      <c r="R3" s="1885" t="s">
        <v>191</v>
      </c>
      <c r="S3" s="1885"/>
      <c r="T3" s="1885"/>
      <c r="U3" s="1886"/>
      <c r="V3" s="1885" t="s">
        <v>192</v>
      </c>
      <c r="W3" s="1885"/>
      <c r="X3" s="1885"/>
      <c r="Y3" s="1886"/>
      <c r="Z3" s="1885" t="s">
        <v>193</v>
      </c>
      <c r="AA3" s="1885"/>
      <c r="AB3" s="1885"/>
      <c r="AC3" s="1886"/>
      <c r="AD3" s="1885" t="s">
        <v>194</v>
      </c>
      <c r="AE3" s="1885"/>
      <c r="AF3" s="1885"/>
      <c r="AG3" s="1886"/>
      <c r="AH3" s="1885" t="s">
        <v>195</v>
      </c>
      <c r="AI3" s="1885"/>
      <c r="AJ3" s="1885"/>
      <c r="AK3" s="1886"/>
      <c r="AL3" s="1885" t="s">
        <v>196</v>
      </c>
      <c r="AM3" s="1885"/>
      <c r="AN3" s="1885"/>
      <c r="AO3" s="1886"/>
      <c r="AP3" s="1885" t="s">
        <v>197</v>
      </c>
      <c r="AQ3" s="1885"/>
      <c r="AR3" s="1885"/>
      <c r="AS3" s="1886"/>
      <c r="AT3" s="1885" t="s">
        <v>198</v>
      </c>
      <c r="AU3" s="1885"/>
      <c r="AV3" s="1885"/>
      <c r="AW3" s="1886"/>
      <c r="AX3" s="1885" t="s">
        <v>199</v>
      </c>
      <c r="AY3" s="1885"/>
      <c r="AZ3" s="1885"/>
      <c r="BA3" s="1886"/>
      <c r="BB3" s="1885" t="s">
        <v>200</v>
      </c>
      <c r="BC3" s="1885"/>
      <c r="BD3" s="1885"/>
      <c r="BE3" s="1886"/>
      <c r="BF3" s="1903" t="s">
        <v>201</v>
      </c>
      <c r="BG3" s="1903"/>
      <c r="BH3" s="1903"/>
      <c r="BI3" s="1904"/>
      <c r="BJ3" s="1885" t="s">
        <v>202</v>
      </c>
      <c r="BK3" s="1885"/>
      <c r="BL3" s="1885"/>
      <c r="BM3" s="1886"/>
      <c r="BN3" s="1885" t="s">
        <v>203</v>
      </c>
      <c r="BO3" s="1885"/>
      <c r="BP3" s="1885"/>
      <c r="BQ3" s="1886"/>
      <c r="BR3" s="1885" t="s">
        <v>204</v>
      </c>
      <c r="BS3" s="1885"/>
      <c r="BT3" s="1885"/>
      <c r="BU3" s="1886"/>
      <c r="BV3" s="1903" t="s">
        <v>205</v>
      </c>
      <c r="BW3" s="1903"/>
      <c r="BX3" s="1903"/>
      <c r="BY3" s="1904"/>
      <c r="BZ3" s="1892" t="s">
        <v>206</v>
      </c>
      <c r="CA3" s="1893"/>
      <c r="CB3" s="1893"/>
      <c r="CC3" s="1894"/>
      <c r="CD3" s="1885" t="s">
        <v>207</v>
      </c>
      <c r="CE3" s="1885"/>
      <c r="CF3" s="1885"/>
      <c r="CG3" s="1886"/>
      <c r="CH3" s="1885" t="s">
        <v>208</v>
      </c>
      <c r="CI3" s="1885"/>
      <c r="CJ3" s="1885"/>
      <c r="CK3" s="1886"/>
      <c r="CL3" s="1885" t="s">
        <v>209</v>
      </c>
      <c r="CM3" s="1885"/>
      <c r="CN3" s="1885"/>
      <c r="CO3" s="1886"/>
      <c r="CP3" s="1890" t="s">
        <v>1</v>
      </c>
      <c r="CQ3" s="1890"/>
      <c r="CR3" s="1890"/>
      <c r="CS3" s="1891"/>
      <c r="CT3" s="1902" t="s">
        <v>210</v>
      </c>
      <c r="CU3" s="1903"/>
      <c r="CV3" s="1903"/>
      <c r="CW3" s="1904"/>
      <c r="CX3" s="1887" t="s">
        <v>2</v>
      </c>
      <c r="CY3" s="1888"/>
      <c r="CZ3" s="1888"/>
      <c r="DA3" s="1889"/>
    </row>
    <row r="4" spans="1:105" s="799" customFormat="1" ht="15" customHeight="1" thickBot="1">
      <c r="A4" s="1898"/>
      <c r="B4" s="1479" t="s">
        <v>440</v>
      </c>
      <c r="C4" s="1480" t="s">
        <v>441</v>
      </c>
      <c r="D4" s="1480" t="s">
        <v>444</v>
      </c>
      <c r="E4" s="1481" t="s">
        <v>445</v>
      </c>
      <c r="F4" s="812" t="s">
        <v>440</v>
      </c>
      <c r="G4" s="812" t="s">
        <v>441</v>
      </c>
      <c r="H4" s="812" t="s">
        <v>444</v>
      </c>
      <c r="I4" s="813" t="s">
        <v>445</v>
      </c>
      <c r="J4" s="812" t="s">
        <v>440</v>
      </c>
      <c r="K4" s="812" t="s">
        <v>441</v>
      </c>
      <c r="L4" s="812" t="s">
        <v>444</v>
      </c>
      <c r="M4" s="813" t="s">
        <v>445</v>
      </c>
      <c r="N4" s="812" t="s">
        <v>440</v>
      </c>
      <c r="O4" s="812" t="s">
        <v>441</v>
      </c>
      <c r="P4" s="812" t="s">
        <v>444</v>
      </c>
      <c r="Q4" s="813" t="s">
        <v>445</v>
      </c>
      <c r="R4" s="812" t="s">
        <v>440</v>
      </c>
      <c r="S4" s="812" t="s">
        <v>441</v>
      </c>
      <c r="T4" s="812" t="s">
        <v>444</v>
      </c>
      <c r="U4" s="813" t="s">
        <v>445</v>
      </c>
      <c r="V4" s="812" t="s">
        <v>440</v>
      </c>
      <c r="W4" s="812" t="s">
        <v>441</v>
      </c>
      <c r="X4" s="812" t="s">
        <v>444</v>
      </c>
      <c r="Y4" s="813" t="s">
        <v>445</v>
      </c>
      <c r="Z4" s="812" t="s">
        <v>440</v>
      </c>
      <c r="AA4" s="812" t="s">
        <v>441</v>
      </c>
      <c r="AB4" s="812" t="s">
        <v>444</v>
      </c>
      <c r="AC4" s="813" t="s">
        <v>445</v>
      </c>
      <c r="AD4" s="812" t="s">
        <v>440</v>
      </c>
      <c r="AE4" s="812" t="s">
        <v>441</v>
      </c>
      <c r="AF4" s="812" t="s">
        <v>444</v>
      </c>
      <c r="AG4" s="813" t="s">
        <v>445</v>
      </c>
      <c r="AH4" s="812" t="s">
        <v>440</v>
      </c>
      <c r="AI4" s="812" t="s">
        <v>441</v>
      </c>
      <c r="AJ4" s="812" t="s">
        <v>444</v>
      </c>
      <c r="AK4" s="813" t="s">
        <v>445</v>
      </c>
      <c r="AL4" s="812" t="s">
        <v>440</v>
      </c>
      <c r="AM4" s="812" t="s">
        <v>441</v>
      </c>
      <c r="AN4" s="812" t="s">
        <v>444</v>
      </c>
      <c r="AO4" s="813" t="s">
        <v>445</v>
      </c>
      <c r="AP4" s="812" t="s">
        <v>440</v>
      </c>
      <c r="AQ4" s="812" t="s">
        <v>441</v>
      </c>
      <c r="AR4" s="812" t="s">
        <v>444</v>
      </c>
      <c r="AS4" s="813" t="s">
        <v>445</v>
      </c>
      <c r="AT4" s="812" t="s">
        <v>440</v>
      </c>
      <c r="AU4" s="812" t="s">
        <v>441</v>
      </c>
      <c r="AV4" s="812" t="s">
        <v>444</v>
      </c>
      <c r="AW4" s="813" t="s">
        <v>445</v>
      </c>
      <c r="AX4" s="812" t="s">
        <v>440</v>
      </c>
      <c r="AY4" s="812" t="s">
        <v>441</v>
      </c>
      <c r="AZ4" s="812" t="s">
        <v>444</v>
      </c>
      <c r="BA4" s="813" t="s">
        <v>445</v>
      </c>
      <c r="BB4" s="812" t="s">
        <v>440</v>
      </c>
      <c r="BC4" s="812" t="s">
        <v>441</v>
      </c>
      <c r="BD4" s="812" t="s">
        <v>444</v>
      </c>
      <c r="BE4" s="813" t="s">
        <v>445</v>
      </c>
      <c r="BF4" s="812" t="s">
        <v>440</v>
      </c>
      <c r="BG4" s="812" t="s">
        <v>441</v>
      </c>
      <c r="BH4" s="812" t="s">
        <v>444</v>
      </c>
      <c r="BI4" s="813" t="s">
        <v>445</v>
      </c>
      <c r="BJ4" s="812" t="s">
        <v>440</v>
      </c>
      <c r="BK4" s="812" t="s">
        <v>441</v>
      </c>
      <c r="BL4" s="812" t="s">
        <v>444</v>
      </c>
      <c r="BM4" s="813" t="s">
        <v>445</v>
      </c>
      <c r="BN4" s="812" t="s">
        <v>440</v>
      </c>
      <c r="BO4" s="812" t="s">
        <v>441</v>
      </c>
      <c r="BP4" s="812" t="s">
        <v>444</v>
      </c>
      <c r="BQ4" s="813" t="s">
        <v>445</v>
      </c>
      <c r="BR4" s="811" t="s">
        <v>440</v>
      </c>
      <c r="BS4" s="812" t="s">
        <v>441</v>
      </c>
      <c r="BT4" s="812" t="s">
        <v>444</v>
      </c>
      <c r="BU4" s="813" t="s">
        <v>445</v>
      </c>
      <c r="BV4" s="812" t="s">
        <v>440</v>
      </c>
      <c r="BW4" s="812" t="s">
        <v>441</v>
      </c>
      <c r="BX4" s="812" t="s">
        <v>444</v>
      </c>
      <c r="BY4" s="813" t="s">
        <v>445</v>
      </c>
      <c r="BZ4" s="811" t="s">
        <v>440</v>
      </c>
      <c r="CA4" s="812" t="s">
        <v>441</v>
      </c>
      <c r="CB4" s="812" t="s">
        <v>444</v>
      </c>
      <c r="CC4" s="813" t="s">
        <v>445</v>
      </c>
      <c r="CD4" s="812" t="s">
        <v>440</v>
      </c>
      <c r="CE4" s="812" t="s">
        <v>441</v>
      </c>
      <c r="CF4" s="812" t="s">
        <v>444</v>
      </c>
      <c r="CG4" s="813" t="s">
        <v>445</v>
      </c>
      <c r="CH4" s="812" t="s">
        <v>440</v>
      </c>
      <c r="CI4" s="812" t="s">
        <v>441</v>
      </c>
      <c r="CJ4" s="812" t="s">
        <v>444</v>
      </c>
      <c r="CK4" s="813" t="s">
        <v>445</v>
      </c>
      <c r="CL4" s="812" t="s">
        <v>440</v>
      </c>
      <c r="CM4" s="812" t="s">
        <v>441</v>
      </c>
      <c r="CN4" s="812" t="s">
        <v>444</v>
      </c>
      <c r="CO4" s="813" t="s">
        <v>445</v>
      </c>
      <c r="CP4" s="812" t="s">
        <v>440</v>
      </c>
      <c r="CQ4" s="812" t="s">
        <v>441</v>
      </c>
      <c r="CR4" s="812" t="s">
        <v>444</v>
      </c>
      <c r="CS4" s="813" t="s">
        <v>445</v>
      </c>
      <c r="CT4" s="811" t="s">
        <v>440</v>
      </c>
      <c r="CU4" s="812" t="s">
        <v>441</v>
      </c>
      <c r="CV4" s="812" t="s">
        <v>444</v>
      </c>
      <c r="CW4" s="813" t="s">
        <v>445</v>
      </c>
      <c r="CX4" s="811" t="s">
        <v>440</v>
      </c>
      <c r="CY4" s="812" t="s">
        <v>441</v>
      </c>
      <c r="CZ4" s="812" t="s">
        <v>444</v>
      </c>
      <c r="DA4" s="813" t="s">
        <v>445</v>
      </c>
    </row>
    <row r="5" spans="1:105" ht="28.5">
      <c r="A5" s="1474" t="s">
        <v>143</v>
      </c>
      <c r="B5" s="1468">
        <v>579695</v>
      </c>
      <c r="C5" s="1469">
        <v>608672</v>
      </c>
      <c r="D5" s="16">
        <f>B5</f>
        <v>579695</v>
      </c>
      <c r="E5" s="19">
        <f>C5</f>
        <v>608672</v>
      </c>
      <c r="F5" s="803"/>
      <c r="G5" s="804"/>
      <c r="H5" s="804"/>
      <c r="I5" s="805"/>
      <c r="J5" s="803"/>
      <c r="K5" s="804"/>
      <c r="L5" s="804"/>
      <c r="M5" s="805"/>
      <c r="N5" s="803">
        <v>48519</v>
      </c>
      <c r="O5" s="804">
        <v>310164</v>
      </c>
      <c r="P5" s="804">
        <f>N5</f>
        <v>48519</v>
      </c>
      <c r="Q5" s="805">
        <f>O5</f>
        <v>310164</v>
      </c>
      <c r="R5" s="803">
        <v>-394968</v>
      </c>
      <c r="S5" s="804">
        <v>-182388</v>
      </c>
      <c r="T5" s="804">
        <f>R5</f>
        <v>-394968</v>
      </c>
      <c r="U5" s="805">
        <f>S5</f>
        <v>-182388</v>
      </c>
      <c r="V5" s="803"/>
      <c r="W5" s="804"/>
      <c r="X5" s="804"/>
      <c r="Y5" s="805"/>
      <c r="Z5" s="803">
        <v>475635</v>
      </c>
      <c r="AA5" s="804">
        <v>1106483</v>
      </c>
      <c r="AB5" s="804">
        <f>Z5</f>
        <v>475635</v>
      </c>
      <c r="AC5" s="805">
        <f>AA5</f>
        <v>1106483</v>
      </c>
      <c r="AD5" s="803">
        <v>161439</v>
      </c>
      <c r="AE5" s="804">
        <v>3362</v>
      </c>
      <c r="AF5" s="804">
        <f>AD5</f>
        <v>161439</v>
      </c>
      <c r="AG5" s="805">
        <f>AE5</f>
        <v>3362</v>
      </c>
      <c r="AH5" s="803"/>
      <c r="AI5" s="804"/>
      <c r="AJ5" s="804"/>
      <c r="AK5" s="805"/>
      <c r="AL5" s="803"/>
      <c r="AM5" s="804"/>
      <c r="AN5" s="804"/>
      <c r="AO5" s="805"/>
      <c r="AP5" s="803">
        <v>3503306</v>
      </c>
      <c r="AQ5" s="804">
        <v>3199702</v>
      </c>
      <c r="AR5" s="804">
        <f>AP5</f>
        <v>3503306</v>
      </c>
      <c r="AS5" s="805">
        <f>AQ5</f>
        <v>3199702</v>
      </c>
      <c r="AT5" s="803">
        <v>3688798</v>
      </c>
      <c r="AU5" s="804">
        <v>2464296</v>
      </c>
      <c r="AV5" s="803">
        <f>AT5</f>
        <v>3688798</v>
      </c>
      <c r="AW5" s="1245">
        <f>AU5</f>
        <v>2464296</v>
      </c>
      <c r="AX5" s="803"/>
      <c r="AY5" s="804"/>
      <c r="AZ5" s="804"/>
      <c r="BA5" s="805"/>
      <c r="BB5" s="803">
        <v>55024</v>
      </c>
      <c r="BC5" s="804">
        <v>37734</v>
      </c>
      <c r="BD5" s="804">
        <f>BB5</f>
        <v>55024</v>
      </c>
      <c r="BE5" s="805">
        <f>BC5</f>
        <v>37734</v>
      </c>
      <c r="BF5" s="803"/>
      <c r="BG5" s="804"/>
      <c r="BH5" s="804"/>
      <c r="BI5" s="805"/>
      <c r="BJ5" s="803">
        <v>583415</v>
      </c>
      <c r="BK5" s="804">
        <v>430553</v>
      </c>
      <c r="BL5" s="804">
        <f>BJ5</f>
        <v>583415</v>
      </c>
      <c r="BM5" s="805">
        <f>BK5</f>
        <v>430553</v>
      </c>
      <c r="BN5" s="803">
        <v>107144</v>
      </c>
      <c r="BO5" s="804">
        <v>298115</v>
      </c>
      <c r="BP5" s="804">
        <f>BN5</f>
        <v>107144</v>
      </c>
      <c r="BQ5" s="804">
        <f>BO5</f>
        <v>298115</v>
      </c>
      <c r="BR5" s="803"/>
      <c r="BS5" s="804"/>
      <c r="BT5" s="804"/>
      <c r="BU5" s="805"/>
      <c r="BV5" s="803"/>
      <c r="BW5" s="804"/>
      <c r="BX5" s="804"/>
      <c r="BY5" s="805"/>
      <c r="BZ5" s="806">
        <v>2154956</v>
      </c>
      <c r="CA5" s="807">
        <v>2424264</v>
      </c>
      <c r="CB5" s="807">
        <f>BZ5</f>
        <v>2154956</v>
      </c>
      <c r="CC5" s="808">
        <f>CA5</f>
        <v>2424264</v>
      </c>
      <c r="CD5" s="803"/>
      <c r="CE5" s="804"/>
      <c r="CF5" s="804"/>
      <c r="CG5" s="805"/>
      <c r="CH5" s="803">
        <v>219563</v>
      </c>
      <c r="CI5" s="804">
        <v>132895</v>
      </c>
      <c r="CJ5" s="804">
        <f>CH5</f>
        <v>219563</v>
      </c>
      <c r="CK5" s="805">
        <f>CI5</f>
        <v>132895</v>
      </c>
      <c r="CL5" s="803"/>
      <c r="CM5" s="804"/>
      <c r="CN5" s="804"/>
      <c r="CO5" s="805"/>
      <c r="CP5" s="803">
        <f>SUM(B5+F5+J5+N5+R5+V5+Z5+AD5+AH5+AL5+AP5+AT5+AX5+BB5+BF5+BJ5+BN5+BR5+BV5+BZ5+CD5+CH5+CL5)</f>
        <v>11182526</v>
      </c>
      <c r="CQ5" s="809">
        <f aca="true" t="shared" si="0" ref="CQ5:CS20">SUM(C5+G5+K5+O5+S5+W5+AA5+AE5+AI5+AM5+AQ5+AU5+AY5+BC5+BG5+BK5+BO5+BS5+BW5+CA5+CE5+CI5+CM5)</f>
        <v>10833852</v>
      </c>
      <c r="CR5" s="809">
        <f>SUM(D5+H5+L5+P5+T5+X5+AB5+AF5+AJ5+AN5+AR5+AV5+AZ5+BD5+BH5+BL5+BP5+BT5+BX5+CB5+CF5+CJ5+CN5)</f>
        <v>11182526</v>
      </c>
      <c r="CS5" s="810">
        <f>SUM(E5+I5+M5+Q5+U5+Y5+AC5+AG5+AK5+AO5+AS5+AW5+BA5+BE5+BI5+BM5+BQ5+BU5+BY5+CC5+CG5+CK5+CO5)</f>
        <v>10833852</v>
      </c>
      <c r="CT5" s="809"/>
      <c r="CU5" s="804"/>
      <c r="CV5" s="804"/>
      <c r="CW5" s="805"/>
      <c r="CX5" s="809">
        <f>CP5+CT5</f>
        <v>11182526</v>
      </c>
      <c r="CY5" s="809">
        <f aca="true" t="shared" si="1" ref="CY5:DA20">CQ5+CU5</f>
        <v>10833852</v>
      </c>
      <c r="CZ5" s="809">
        <f t="shared" si="1"/>
        <v>11182526</v>
      </c>
      <c r="DA5" s="810">
        <f t="shared" si="1"/>
        <v>10833852</v>
      </c>
    </row>
    <row r="6" spans="1:105" ht="14.25">
      <c r="A6" s="1475" t="s">
        <v>144</v>
      </c>
      <c r="B6" s="76"/>
      <c r="C6" s="15"/>
      <c r="D6" s="16">
        <f aca="true" t="shared" si="2" ref="D6:D12">B6</f>
        <v>0</v>
      </c>
      <c r="E6" s="19">
        <f aca="true" t="shared" si="3" ref="E6:E12">C6</f>
        <v>0</v>
      </c>
      <c r="F6" s="27"/>
      <c r="G6" s="24"/>
      <c r="H6" s="24"/>
      <c r="I6" s="28"/>
      <c r="J6" s="27"/>
      <c r="K6" s="24"/>
      <c r="L6" s="24"/>
      <c r="M6" s="28"/>
      <c r="N6" s="27"/>
      <c r="O6" s="24"/>
      <c r="P6" s="804">
        <f aca="true" t="shared" si="4" ref="P6:P40">N6</f>
        <v>0</v>
      </c>
      <c r="Q6" s="805">
        <f aca="true" t="shared" si="5" ref="Q6:Q40">O6</f>
        <v>0</v>
      </c>
      <c r="R6" s="27"/>
      <c r="S6" s="24"/>
      <c r="T6" s="804">
        <f aca="true" t="shared" si="6" ref="T6:T40">R6</f>
        <v>0</v>
      </c>
      <c r="U6" s="805">
        <f aca="true" t="shared" si="7" ref="U6:U40">S6</f>
        <v>0</v>
      </c>
      <c r="V6" s="27"/>
      <c r="W6" s="24"/>
      <c r="X6" s="24"/>
      <c r="Y6" s="28"/>
      <c r="Z6" s="27"/>
      <c r="AA6" s="24"/>
      <c r="AB6" s="804">
        <f aca="true" t="shared" si="8" ref="AB6:AB40">Z6</f>
        <v>0</v>
      </c>
      <c r="AC6" s="805">
        <f aca="true" t="shared" si="9" ref="AC6:AC40">AA6</f>
        <v>0</v>
      </c>
      <c r="AD6" s="27"/>
      <c r="AE6" s="24"/>
      <c r="AF6" s="804">
        <f aca="true" t="shared" si="10" ref="AF6:AF40">AD6</f>
        <v>0</v>
      </c>
      <c r="AG6" s="805">
        <f aca="true" t="shared" si="11" ref="AG6:AG40">AE6</f>
        <v>0</v>
      </c>
      <c r="AH6" s="27"/>
      <c r="AI6" s="24"/>
      <c r="AJ6" s="24"/>
      <c r="AK6" s="28"/>
      <c r="AL6" s="27"/>
      <c r="AM6" s="24"/>
      <c r="AN6" s="24"/>
      <c r="AO6" s="28"/>
      <c r="AP6" s="27"/>
      <c r="AQ6" s="24"/>
      <c r="AR6" s="804">
        <f aca="true" t="shared" si="12" ref="AR6:AR40">AP6</f>
        <v>0</v>
      </c>
      <c r="AS6" s="805">
        <f aca="true" t="shared" si="13" ref="AS6:AS40">AQ6</f>
        <v>0</v>
      </c>
      <c r="AT6" s="27"/>
      <c r="AU6" s="24"/>
      <c r="AV6" s="803">
        <f aca="true" t="shared" si="14" ref="AV6:AV40">AT6</f>
        <v>0</v>
      </c>
      <c r="AW6" s="1245">
        <f aca="true" t="shared" si="15" ref="AW6:AW40">AU6</f>
        <v>0</v>
      </c>
      <c r="AX6" s="410"/>
      <c r="AY6" s="30"/>
      <c r="AZ6" s="30"/>
      <c r="BA6" s="31"/>
      <c r="BB6" s="27"/>
      <c r="BC6" s="24"/>
      <c r="BD6" s="804">
        <f aca="true" t="shared" si="16" ref="BD6:BD40">BB6</f>
        <v>0</v>
      </c>
      <c r="BE6" s="805">
        <f aca="true" t="shared" si="17" ref="BE6:BE40">BC6</f>
        <v>0</v>
      </c>
      <c r="BF6" s="27"/>
      <c r="BG6" s="24"/>
      <c r="BH6" s="24"/>
      <c r="BI6" s="28"/>
      <c r="BJ6" s="27"/>
      <c r="BK6" s="24"/>
      <c r="BL6" s="804">
        <f aca="true" t="shared" si="18" ref="BL6:BL40">BJ6</f>
        <v>0</v>
      </c>
      <c r="BM6" s="805">
        <f aca="true" t="shared" si="19" ref="BM6:BM40">BK6</f>
        <v>0</v>
      </c>
      <c r="BN6" s="27"/>
      <c r="BO6" s="24"/>
      <c r="BP6" s="804">
        <f aca="true" t="shared" si="20" ref="BP6:BP11">BN6</f>
        <v>0</v>
      </c>
      <c r="BQ6" s="804">
        <f aca="true" t="shared" si="21" ref="BQ6:BQ11">BO6</f>
        <v>0</v>
      </c>
      <c r="BR6" s="27"/>
      <c r="BS6" s="24"/>
      <c r="BT6" s="24"/>
      <c r="BU6" s="28"/>
      <c r="BV6" s="294"/>
      <c r="BW6" s="24"/>
      <c r="BX6" s="24"/>
      <c r="BY6" s="28"/>
      <c r="BZ6" s="397"/>
      <c r="CA6" s="393"/>
      <c r="CB6" s="807">
        <f aca="true" t="shared" si="22" ref="CB6:CB40">BZ6</f>
        <v>0</v>
      </c>
      <c r="CC6" s="808">
        <f aca="true" t="shared" si="23" ref="CC6:CC40">CA6</f>
        <v>0</v>
      </c>
      <c r="CD6" s="33"/>
      <c r="CE6" s="34"/>
      <c r="CF6" s="34"/>
      <c r="CG6" s="35"/>
      <c r="CH6" s="36"/>
      <c r="CI6" s="37"/>
      <c r="CJ6" s="804">
        <f aca="true" t="shared" si="24" ref="CJ6:CJ40">CH6</f>
        <v>0</v>
      </c>
      <c r="CK6" s="805">
        <f aca="true" t="shared" si="25" ref="CK6:CK40">CI6</f>
        <v>0</v>
      </c>
      <c r="CL6" s="27"/>
      <c r="CM6" s="24"/>
      <c r="CN6" s="24"/>
      <c r="CO6" s="28"/>
      <c r="CP6" s="18">
        <f aca="true" t="shared" si="26" ref="CP6:CS40">SUM(B6+F6+J6+N6+R6+V6+Z6+AD6+AH6+AL6+AP6+AT6+AX6+BB6+BF6+BJ6+BN6+BR6+BV6+BZ6+CD6+CH6+CL6)</f>
        <v>0</v>
      </c>
      <c r="CQ6" s="17">
        <f t="shared" si="0"/>
        <v>0</v>
      </c>
      <c r="CR6" s="17">
        <f t="shared" si="0"/>
        <v>0</v>
      </c>
      <c r="CS6" s="1487">
        <f t="shared" si="0"/>
        <v>0</v>
      </c>
      <c r="CT6" s="306"/>
      <c r="CU6" s="37"/>
      <c r="CV6" s="37"/>
      <c r="CW6" s="38"/>
      <c r="CX6" s="17">
        <f aca="true" t="shared" si="27" ref="CX6:DA38">CP6+CT6</f>
        <v>0</v>
      </c>
      <c r="CY6" s="17">
        <f t="shared" si="1"/>
        <v>0</v>
      </c>
      <c r="CZ6" s="17">
        <f t="shared" si="1"/>
        <v>0</v>
      </c>
      <c r="DA6" s="1487">
        <f t="shared" si="1"/>
        <v>0</v>
      </c>
    </row>
    <row r="7" spans="1:105" ht="28.5">
      <c r="A7" s="1475" t="s">
        <v>145</v>
      </c>
      <c r="B7" s="76">
        <v>426866</v>
      </c>
      <c r="C7" s="15">
        <v>381684</v>
      </c>
      <c r="D7" s="16">
        <f t="shared" si="2"/>
        <v>426866</v>
      </c>
      <c r="E7" s="19">
        <f t="shared" si="3"/>
        <v>381684</v>
      </c>
      <c r="F7" s="27">
        <v>10421</v>
      </c>
      <c r="G7" s="24">
        <v>10134</v>
      </c>
      <c r="H7" s="24">
        <f aca="true" t="shared" si="28" ref="H7:I12">F7</f>
        <v>10421</v>
      </c>
      <c r="I7" s="28">
        <f t="shared" si="28"/>
        <v>10134</v>
      </c>
      <c r="J7" s="27">
        <v>126593</v>
      </c>
      <c r="K7" s="24">
        <v>122395</v>
      </c>
      <c r="L7" s="24">
        <f>J7</f>
        <v>126593</v>
      </c>
      <c r="M7" s="28">
        <f>K7</f>
        <v>122395</v>
      </c>
      <c r="N7" s="27">
        <v>1668677</v>
      </c>
      <c r="O7" s="24">
        <v>1511763</v>
      </c>
      <c r="P7" s="804">
        <f t="shared" si="4"/>
        <v>1668677</v>
      </c>
      <c r="Q7" s="805">
        <f t="shared" si="5"/>
        <v>1511763</v>
      </c>
      <c r="R7" s="27">
        <v>58916</v>
      </c>
      <c r="S7" s="24">
        <v>52301</v>
      </c>
      <c r="T7" s="804">
        <f t="shared" si="6"/>
        <v>58916</v>
      </c>
      <c r="U7" s="805">
        <f t="shared" si="7"/>
        <v>52301</v>
      </c>
      <c r="V7" s="27">
        <v>182745</v>
      </c>
      <c r="W7" s="24">
        <v>148486</v>
      </c>
      <c r="X7" s="24">
        <f>V7</f>
        <v>182745</v>
      </c>
      <c r="Y7" s="28">
        <f>W7</f>
        <v>148486</v>
      </c>
      <c r="Z7" s="27">
        <v>134511</v>
      </c>
      <c r="AA7" s="24">
        <v>145575</v>
      </c>
      <c r="AB7" s="804">
        <f t="shared" si="8"/>
        <v>134511</v>
      </c>
      <c r="AC7" s="805">
        <f t="shared" si="9"/>
        <v>145575</v>
      </c>
      <c r="AD7" s="27">
        <v>145388</v>
      </c>
      <c r="AE7" s="24">
        <v>172961</v>
      </c>
      <c r="AF7" s="804">
        <f t="shared" si="10"/>
        <v>145388</v>
      </c>
      <c r="AG7" s="805">
        <f t="shared" si="11"/>
        <v>172961</v>
      </c>
      <c r="AH7" s="27">
        <v>183801</v>
      </c>
      <c r="AI7" s="24">
        <v>160985</v>
      </c>
      <c r="AJ7" s="24">
        <f aca="true" t="shared" si="29" ref="AJ7:AK12">AH7</f>
        <v>183801</v>
      </c>
      <c r="AK7" s="28">
        <f t="shared" si="29"/>
        <v>160985</v>
      </c>
      <c r="AL7" s="27">
        <v>49736</v>
      </c>
      <c r="AM7" s="24">
        <v>50118</v>
      </c>
      <c r="AN7" s="24">
        <f>AL7</f>
        <v>49736</v>
      </c>
      <c r="AO7" s="28">
        <f>AM7</f>
        <v>50118</v>
      </c>
      <c r="AP7" s="27">
        <v>840769</v>
      </c>
      <c r="AQ7" s="24">
        <v>673523</v>
      </c>
      <c r="AR7" s="804">
        <f t="shared" si="12"/>
        <v>840769</v>
      </c>
      <c r="AS7" s="805">
        <f t="shared" si="13"/>
        <v>673523</v>
      </c>
      <c r="AT7" s="27">
        <v>1086628</v>
      </c>
      <c r="AU7" s="24">
        <v>1082907</v>
      </c>
      <c r="AV7" s="803">
        <f t="shared" si="14"/>
        <v>1086628</v>
      </c>
      <c r="AW7" s="1245">
        <f t="shared" si="15"/>
        <v>1082907</v>
      </c>
      <c r="AX7" s="29">
        <v>101343</v>
      </c>
      <c r="AY7" s="30">
        <v>90603</v>
      </c>
      <c r="AZ7" s="30">
        <f>AX7</f>
        <v>101343</v>
      </c>
      <c r="BA7" s="31">
        <f>AY7</f>
        <v>90603</v>
      </c>
      <c r="BB7" s="27">
        <v>102959</v>
      </c>
      <c r="BC7" s="24">
        <v>107879</v>
      </c>
      <c r="BD7" s="804">
        <f t="shared" si="16"/>
        <v>102959</v>
      </c>
      <c r="BE7" s="805">
        <f t="shared" si="17"/>
        <v>107879</v>
      </c>
      <c r="BF7" s="27">
        <v>475953</v>
      </c>
      <c r="BG7" s="24">
        <v>391538</v>
      </c>
      <c r="BH7" s="24">
        <f>BF7</f>
        <v>475953</v>
      </c>
      <c r="BI7" s="28">
        <f>BG7</f>
        <v>391538</v>
      </c>
      <c r="BJ7" s="27">
        <v>398973</v>
      </c>
      <c r="BK7" s="24">
        <v>405194</v>
      </c>
      <c r="BL7" s="804">
        <f t="shared" si="18"/>
        <v>398973</v>
      </c>
      <c r="BM7" s="805">
        <f t="shared" si="19"/>
        <v>405194</v>
      </c>
      <c r="BN7" s="27">
        <v>223741</v>
      </c>
      <c r="BO7" s="24">
        <v>196406</v>
      </c>
      <c r="BP7" s="804">
        <f t="shared" si="20"/>
        <v>223741</v>
      </c>
      <c r="BQ7" s="804">
        <f t="shared" si="21"/>
        <v>196406</v>
      </c>
      <c r="BR7" s="27">
        <v>222909</v>
      </c>
      <c r="BS7" s="24">
        <v>231166</v>
      </c>
      <c r="BT7" s="24">
        <f>BR7</f>
        <v>222909</v>
      </c>
      <c r="BU7" s="28">
        <f>BS7</f>
        <v>231166</v>
      </c>
      <c r="BV7" s="294"/>
      <c r="BW7" s="24"/>
      <c r="BX7" s="24"/>
      <c r="BY7" s="28"/>
      <c r="BZ7" s="399">
        <v>1091455</v>
      </c>
      <c r="CA7" s="394">
        <v>906780</v>
      </c>
      <c r="CB7" s="807">
        <f t="shared" si="22"/>
        <v>1091455</v>
      </c>
      <c r="CC7" s="808">
        <f t="shared" si="23"/>
        <v>906780</v>
      </c>
      <c r="CD7" s="33">
        <v>48500</v>
      </c>
      <c r="CE7" s="34">
        <v>48116</v>
      </c>
      <c r="CF7" s="34">
        <f>CD7</f>
        <v>48500</v>
      </c>
      <c r="CG7" s="35">
        <f>CE7</f>
        <v>48116</v>
      </c>
      <c r="CH7" s="36">
        <v>93655</v>
      </c>
      <c r="CI7" s="37">
        <v>72743</v>
      </c>
      <c r="CJ7" s="804">
        <f t="shared" si="24"/>
        <v>93655</v>
      </c>
      <c r="CK7" s="805">
        <f t="shared" si="25"/>
        <v>72743</v>
      </c>
      <c r="CL7" s="27">
        <v>351416</v>
      </c>
      <c r="CM7" s="24">
        <v>328281</v>
      </c>
      <c r="CN7" s="24">
        <f>CL7</f>
        <v>351416</v>
      </c>
      <c r="CO7" s="28">
        <f>CM7</f>
        <v>328281</v>
      </c>
      <c r="CP7" s="18">
        <f t="shared" si="26"/>
        <v>8025955</v>
      </c>
      <c r="CQ7" s="17">
        <f t="shared" si="0"/>
        <v>7291538</v>
      </c>
      <c r="CR7" s="17">
        <f>SUM(D7+H7+L7+P7+T7+X7+AB7+AF7+AJ7+AN7+AR7+AV7+AZ7+BD7+BH7+BL7+BP7+BT7+BX7+CB7+CF7+CJ7+CN7)</f>
        <v>8025955</v>
      </c>
      <c r="CS7" s="1487">
        <f>SUM(E7+I7+M7+Q7+U7+Y7+AC7+AG7+AK7+AO7+AS7+AW7+BA7+BE7+BI7+BM7+BQ7+BU7+BY7+CC7+CG7+CK7+CO7)</f>
        <v>7291538</v>
      </c>
      <c r="CT7" s="306">
        <v>45770</v>
      </c>
      <c r="CU7" s="37">
        <v>44236</v>
      </c>
      <c r="CV7" s="37">
        <f>CT7</f>
        <v>45770</v>
      </c>
      <c r="CW7" s="38">
        <f>CU7</f>
        <v>44236</v>
      </c>
      <c r="CX7" s="17">
        <f t="shared" si="27"/>
        <v>8071725</v>
      </c>
      <c r="CY7" s="17">
        <f t="shared" si="1"/>
        <v>7335774</v>
      </c>
      <c r="CZ7" s="17">
        <f t="shared" si="1"/>
        <v>8071725</v>
      </c>
      <c r="DA7" s="1487">
        <f t="shared" si="1"/>
        <v>7335774</v>
      </c>
    </row>
    <row r="8" spans="1:105" ht="28.5">
      <c r="A8" s="1475" t="s">
        <v>146</v>
      </c>
      <c r="B8" s="76">
        <v>4193</v>
      </c>
      <c r="C8" s="15">
        <v>77156</v>
      </c>
      <c r="D8" s="16">
        <f t="shared" si="2"/>
        <v>4193</v>
      </c>
      <c r="E8" s="19">
        <f t="shared" si="3"/>
        <v>77156</v>
      </c>
      <c r="F8" s="27"/>
      <c r="G8" s="24">
        <v>6614</v>
      </c>
      <c r="H8" s="24">
        <f t="shared" si="28"/>
        <v>0</v>
      </c>
      <c r="I8" s="28">
        <f t="shared" si="28"/>
        <v>6614</v>
      </c>
      <c r="J8" s="27">
        <v>65</v>
      </c>
      <c r="K8" s="24">
        <v>15713</v>
      </c>
      <c r="L8" s="24">
        <f aca="true" t="shared" si="30" ref="L8:L40">J8</f>
        <v>65</v>
      </c>
      <c r="M8" s="28">
        <f aca="true" t="shared" si="31" ref="M8:M40">K8</f>
        <v>15713</v>
      </c>
      <c r="N8" s="27">
        <v>799123</v>
      </c>
      <c r="O8" s="24">
        <v>396376</v>
      </c>
      <c r="P8" s="804">
        <f t="shared" si="4"/>
        <v>799123</v>
      </c>
      <c r="Q8" s="805">
        <f t="shared" si="5"/>
        <v>396376</v>
      </c>
      <c r="R8" s="27">
        <v>23131</v>
      </c>
      <c r="S8" s="24">
        <v>8720</v>
      </c>
      <c r="T8" s="804">
        <f t="shared" si="6"/>
        <v>23131</v>
      </c>
      <c r="U8" s="805">
        <f t="shared" si="7"/>
        <v>8720</v>
      </c>
      <c r="V8" s="27">
        <v>99259</v>
      </c>
      <c r="W8" s="24">
        <v>6221</v>
      </c>
      <c r="X8" s="24">
        <f aca="true" t="shared" si="32" ref="X8:X40">V8</f>
        <v>99259</v>
      </c>
      <c r="Y8" s="28">
        <f aca="true" t="shared" si="33" ref="Y8:Y40">W8</f>
        <v>6221</v>
      </c>
      <c r="Z8" s="27">
        <v>32356</v>
      </c>
      <c r="AA8" s="24">
        <v>14254</v>
      </c>
      <c r="AB8" s="804">
        <f t="shared" si="8"/>
        <v>32356</v>
      </c>
      <c r="AC8" s="805">
        <f t="shared" si="9"/>
        <v>14254</v>
      </c>
      <c r="AD8" s="27">
        <v>55885</v>
      </c>
      <c r="AE8" s="24">
        <v>69528</v>
      </c>
      <c r="AF8" s="804">
        <f t="shared" si="10"/>
        <v>55885</v>
      </c>
      <c r="AG8" s="805">
        <f t="shared" si="11"/>
        <v>69528</v>
      </c>
      <c r="AH8" s="27">
        <v>6351</v>
      </c>
      <c r="AI8" s="24">
        <v>8295</v>
      </c>
      <c r="AJ8" s="24">
        <f t="shared" si="29"/>
        <v>6351</v>
      </c>
      <c r="AK8" s="28">
        <f t="shared" si="29"/>
        <v>8295</v>
      </c>
      <c r="AL8" s="27">
        <v>6387</v>
      </c>
      <c r="AM8" s="24">
        <v>8090</v>
      </c>
      <c r="AN8" s="24">
        <f aca="true" t="shared" si="34" ref="AN8:AN40">AL8</f>
        <v>6387</v>
      </c>
      <c r="AO8" s="28">
        <f aca="true" t="shared" si="35" ref="AO8:AO40">AM8</f>
        <v>8090</v>
      </c>
      <c r="AP8" s="27">
        <v>180593</v>
      </c>
      <c r="AQ8" s="24">
        <v>142238</v>
      </c>
      <c r="AR8" s="804">
        <f t="shared" si="12"/>
        <v>180593</v>
      </c>
      <c r="AS8" s="805">
        <f t="shared" si="13"/>
        <v>142238</v>
      </c>
      <c r="AT8" s="27">
        <v>364884</v>
      </c>
      <c r="AU8" s="24">
        <v>438214</v>
      </c>
      <c r="AV8" s="803">
        <f t="shared" si="14"/>
        <v>364884</v>
      </c>
      <c r="AW8" s="1245">
        <f t="shared" si="15"/>
        <v>438214</v>
      </c>
      <c r="AX8" s="29">
        <v>23525</v>
      </c>
      <c r="AY8" s="30">
        <v>16568</v>
      </c>
      <c r="AZ8" s="30">
        <f aca="true" t="shared" si="36" ref="AZ8:AZ40">AX8</f>
        <v>23525</v>
      </c>
      <c r="BA8" s="31">
        <f aca="true" t="shared" si="37" ref="BA8:BA40">AY8</f>
        <v>16568</v>
      </c>
      <c r="BB8" s="27"/>
      <c r="BC8" s="24"/>
      <c r="BD8" s="804">
        <f t="shared" si="16"/>
        <v>0</v>
      </c>
      <c r="BE8" s="805">
        <f t="shared" si="17"/>
        <v>0</v>
      </c>
      <c r="BF8" s="27"/>
      <c r="BG8" s="24">
        <v>1044</v>
      </c>
      <c r="BH8" s="24">
        <f aca="true" t="shared" si="38" ref="BH8:BH40">BF8</f>
        <v>0</v>
      </c>
      <c r="BI8" s="28">
        <f aca="true" t="shared" si="39" ref="BI8:BI40">BG8</f>
        <v>1044</v>
      </c>
      <c r="BJ8" s="27">
        <v>107726</v>
      </c>
      <c r="BK8" s="24">
        <v>138709</v>
      </c>
      <c r="BL8" s="804">
        <f t="shared" si="18"/>
        <v>107726</v>
      </c>
      <c r="BM8" s="805">
        <f t="shared" si="19"/>
        <v>138709</v>
      </c>
      <c r="BN8" s="27">
        <v>9568</v>
      </c>
      <c r="BO8" s="24"/>
      <c r="BP8" s="804">
        <f t="shared" si="20"/>
        <v>9568</v>
      </c>
      <c r="BQ8" s="804">
        <f t="shared" si="21"/>
        <v>0</v>
      </c>
      <c r="BR8" s="27">
        <v>240941</v>
      </c>
      <c r="BS8" s="24">
        <v>202497</v>
      </c>
      <c r="BT8" s="24">
        <f aca="true" t="shared" si="40" ref="BT8:BT40">BR8</f>
        <v>240941</v>
      </c>
      <c r="BU8" s="28">
        <f aca="true" t="shared" si="41" ref="BU8:BU40">BS8</f>
        <v>202497</v>
      </c>
      <c r="BV8" s="294"/>
      <c r="BW8" s="24"/>
      <c r="BX8" s="24"/>
      <c r="BY8" s="28"/>
      <c r="BZ8" s="399">
        <v>633118</v>
      </c>
      <c r="CA8" s="394">
        <v>307351</v>
      </c>
      <c r="CB8" s="807">
        <f t="shared" si="22"/>
        <v>633118</v>
      </c>
      <c r="CC8" s="808">
        <f t="shared" si="23"/>
        <v>307351</v>
      </c>
      <c r="CD8" s="33">
        <v>25460</v>
      </c>
      <c r="CE8" s="34">
        <v>244347</v>
      </c>
      <c r="CF8" s="34">
        <f aca="true" t="shared" si="42" ref="CF8:CF40">CD8</f>
        <v>25460</v>
      </c>
      <c r="CG8" s="35">
        <f aca="true" t="shared" si="43" ref="CG8:CG40">CE8</f>
        <v>244347</v>
      </c>
      <c r="CH8" s="36">
        <v>52213</v>
      </c>
      <c r="CI8" s="37">
        <v>12732</v>
      </c>
      <c r="CJ8" s="804">
        <f t="shared" si="24"/>
        <v>52213</v>
      </c>
      <c r="CK8" s="805">
        <f t="shared" si="25"/>
        <v>12732</v>
      </c>
      <c r="CL8" s="27">
        <v>848</v>
      </c>
      <c r="CM8" s="24">
        <v>20996</v>
      </c>
      <c r="CN8" s="24">
        <f aca="true" t="shared" si="44" ref="CN8:CN40">CL8</f>
        <v>848</v>
      </c>
      <c r="CO8" s="28">
        <f aca="true" t="shared" si="45" ref="CO8:CO40">CM8</f>
        <v>20996</v>
      </c>
      <c r="CP8" s="18">
        <f t="shared" si="26"/>
        <v>2665626</v>
      </c>
      <c r="CQ8" s="17">
        <f t="shared" si="0"/>
        <v>2135663</v>
      </c>
      <c r="CR8" s="17">
        <f t="shared" si="0"/>
        <v>2665626</v>
      </c>
      <c r="CS8" s="1487">
        <f t="shared" si="0"/>
        <v>2135663</v>
      </c>
      <c r="CT8" s="306">
        <v>4958</v>
      </c>
      <c r="CU8" s="37">
        <v>1118</v>
      </c>
      <c r="CV8" s="37">
        <f aca="true" t="shared" si="46" ref="CV8:CV40">CT8</f>
        <v>4958</v>
      </c>
      <c r="CW8" s="38">
        <f aca="true" t="shared" si="47" ref="CW8:CW40">CU8</f>
        <v>1118</v>
      </c>
      <c r="CX8" s="17">
        <f t="shared" si="27"/>
        <v>2670584</v>
      </c>
      <c r="CY8" s="17">
        <f t="shared" si="1"/>
        <v>2136781</v>
      </c>
      <c r="CZ8" s="17">
        <f t="shared" si="1"/>
        <v>2670584</v>
      </c>
      <c r="DA8" s="1487">
        <f t="shared" si="1"/>
        <v>2136781</v>
      </c>
    </row>
    <row r="9" spans="1:105" ht="28.5">
      <c r="A9" s="1475" t="s">
        <v>147</v>
      </c>
      <c r="B9" s="76"/>
      <c r="C9" s="15">
        <v>-1</v>
      </c>
      <c r="D9" s="16">
        <f t="shared" si="2"/>
        <v>0</v>
      </c>
      <c r="E9" s="19">
        <f t="shared" si="3"/>
        <v>-1</v>
      </c>
      <c r="F9" s="27"/>
      <c r="G9" s="24"/>
      <c r="H9" s="24">
        <f t="shared" si="28"/>
        <v>0</v>
      </c>
      <c r="I9" s="28">
        <f t="shared" si="28"/>
        <v>0</v>
      </c>
      <c r="J9" s="27">
        <v>-323</v>
      </c>
      <c r="K9" s="24">
        <v>-1730</v>
      </c>
      <c r="L9" s="24">
        <f t="shared" si="30"/>
        <v>-323</v>
      </c>
      <c r="M9" s="28">
        <f t="shared" si="31"/>
        <v>-1730</v>
      </c>
      <c r="N9" s="27">
        <v>-92533</v>
      </c>
      <c r="O9" s="24">
        <v>-310796</v>
      </c>
      <c r="P9" s="804">
        <f t="shared" si="4"/>
        <v>-92533</v>
      </c>
      <c r="Q9" s="805">
        <f t="shared" si="5"/>
        <v>-310796</v>
      </c>
      <c r="R9" s="27">
        <v>-4673</v>
      </c>
      <c r="S9" s="24">
        <v>-716</v>
      </c>
      <c r="T9" s="804">
        <f t="shared" si="6"/>
        <v>-4673</v>
      </c>
      <c r="U9" s="805">
        <f t="shared" si="7"/>
        <v>-716</v>
      </c>
      <c r="V9" s="27"/>
      <c r="W9" s="24"/>
      <c r="X9" s="24">
        <f t="shared" si="32"/>
        <v>0</v>
      </c>
      <c r="Y9" s="28">
        <f t="shared" si="33"/>
        <v>0</v>
      </c>
      <c r="Z9" s="27">
        <v>-4947</v>
      </c>
      <c r="AA9" s="24">
        <v>-33</v>
      </c>
      <c r="AB9" s="804">
        <f t="shared" si="8"/>
        <v>-4947</v>
      </c>
      <c r="AC9" s="805">
        <f t="shared" si="9"/>
        <v>-33</v>
      </c>
      <c r="AD9" s="27">
        <v>-18008</v>
      </c>
      <c r="AE9" s="24">
        <v>-51751</v>
      </c>
      <c r="AF9" s="804">
        <f t="shared" si="10"/>
        <v>-18008</v>
      </c>
      <c r="AG9" s="805">
        <f t="shared" si="11"/>
        <v>-51751</v>
      </c>
      <c r="AH9" s="27"/>
      <c r="AI9" s="24">
        <v>-153</v>
      </c>
      <c r="AJ9" s="24">
        <f t="shared" si="29"/>
        <v>0</v>
      </c>
      <c r="AK9" s="28">
        <f t="shared" si="29"/>
        <v>-153</v>
      </c>
      <c r="AL9" s="27">
        <v>-6826</v>
      </c>
      <c r="AM9" s="24">
        <v>-3438</v>
      </c>
      <c r="AN9" s="24">
        <f t="shared" si="34"/>
        <v>-6826</v>
      </c>
      <c r="AO9" s="28">
        <f t="shared" si="35"/>
        <v>-3438</v>
      </c>
      <c r="AP9" s="27">
        <v>-8084</v>
      </c>
      <c r="AQ9" s="24">
        <v>-491</v>
      </c>
      <c r="AR9" s="804">
        <f t="shared" si="12"/>
        <v>-8084</v>
      </c>
      <c r="AS9" s="805">
        <f t="shared" si="13"/>
        <v>-491</v>
      </c>
      <c r="AT9" s="27">
        <v>-21095</v>
      </c>
      <c r="AU9" s="24">
        <v>-107634</v>
      </c>
      <c r="AV9" s="803">
        <f t="shared" si="14"/>
        <v>-21095</v>
      </c>
      <c r="AW9" s="1245">
        <f t="shared" si="15"/>
        <v>-107634</v>
      </c>
      <c r="AX9" s="29">
        <v>-19707</v>
      </c>
      <c r="AY9" s="30">
        <v>-6518</v>
      </c>
      <c r="AZ9" s="30">
        <f t="shared" si="36"/>
        <v>-19707</v>
      </c>
      <c r="BA9" s="31">
        <f t="shared" si="37"/>
        <v>-6518</v>
      </c>
      <c r="BB9" s="27"/>
      <c r="BC9" s="24"/>
      <c r="BD9" s="804">
        <f t="shared" si="16"/>
        <v>0</v>
      </c>
      <c r="BE9" s="805">
        <f t="shared" si="17"/>
        <v>0</v>
      </c>
      <c r="BF9" s="27"/>
      <c r="BG9" s="24">
        <v>-4499</v>
      </c>
      <c r="BH9" s="24">
        <f t="shared" si="38"/>
        <v>0</v>
      </c>
      <c r="BI9" s="28">
        <f t="shared" si="39"/>
        <v>-4499</v>
      </c>
      <c r="BJ9" s="27">
        <v>-10672</v>
      </c>
      <c r="BK9" s="24">
        <v>-27977</v>
      </c>
      <c r="BL9" s="804">
        <f t="shared" si="18"/>
        <v>-10672</v>
      </c>
      <c r="BM9" s="805">
        <f t="shared" si="19"/>
        <v>-27977</v>
      </c>
      <c r="BN9" s="27"/>
      <c r="BO9" s="24">
        <v>749</v>
      </c>
      <c r="BP9" s="804">
        <f t="shared" si="20"/>
        <v>0</v>
      </c>
      <c r="BQ9" s="804">
        <f t="shared" si="21"/>
        <v>749</v>
      </c>
      <c r="BR9" s="27">
        <v>-48564</v>
      </c>
      <c r="BS9" s="24">
        <v>-38964</v>
      </c>
      <c r="BT9" s="24">
        <f t="shared" si="40"/>
        <v>-48564</v>
      </c>
      <c r="BU9" s="28">
        <f t="shared" si="41"/>
        <v>-38964</v>
      </c>
      <c r="BV9" s="294"/>
      <c r="BW9" s="24"/>
      <c r="BX9" s="24"/>
      <c r="BY9" s="28"/>
      <c r="BZ9" s="399">
        <v>-34241</v>
      </c>
      <c r="CA9" s="394">
        <v>-8563</v>
      </c>
      <c r="CB9" s="807">
        <f t="shared" si="22"/>
        <v>-34241</v>
      </c>
      <c r="CC9" s="808">
        <f t="shared" si="23"/>
        <v>-8563</v>
      </c>
      <c r="CD9" s="33">
        <v>-94333</v>
      </c>
      <c r="CE9" s="34">
        <v>-294881</v>
      </c>
      <c r="CF9" s="34">
        <f t="shared" si="42"/>
        <v>-94333</v>
      </c>
      <c r="CG9" s="35">
        <f t="shared" si="43"/>
        <v>-294881</v>
      </c>
      <c r="CH9" s="36"/>
      <c r="CI9" s="37">
        <v>-3276</v>
      </c>
      <c r="CJ9" s="804">
        <f t="shared" si="24"/>
        <v>0</v>
      </c>
      <c r="CK9" s="805">
        <f t="shared" si="25"/>
        <v>-3276</v>
      </c>
      <c r="CL9" s="27">
        <v>-4758</v>
      </c>
      <c r="CM9" s="24">
        <v>-2950</v>
      </c>
      <c r="CN9" s="24">
        <f t="shared" si="44"/>
        <v>-4758</v>
      </c>
      <c r="CO9" s="28">
        <f t="shared" si="45"/>
        <v>-2950</v>
      </c>
      <c r="CP9" s="18">
        <f t="shared" si="26"/>
        <v>-368764</v>
      </c>
      <c r="CQ9" s="17">
        <f t="shared" si="0"/>
        <v>-863622</v>
      </c>
      <c r="CR9" s="17">
        <f t="shared" si="0"/>
        <v>-368764</v>
      </c>
      <c r="CS9" s="1487">
        <f t="shared" si="0"/>
        <v>-863622</v>
      </c>
      <c r="CT9" s="306">
        <v>-671</v>
      </c>
      <c r="CU9" s="37"/>
      <c r="CV9" s="37">
        <f t="shared" si="46"/>
        <v>-671</v>
      </c>
      <c r="CW9" s="38">
        <f t="shared" si="47"/>
        <v>0</v>
      </c>
      <c r="CX9" s="17">
        <f t="shared" si="27"/>
        <v>-369435</v>
      </c>
      <c r="CY9" s="17">
        <f t="shared" si="1"/>
        <v>-863622</v>
      </c>
      <c r="CZ9" s="17">
        <f t="shared" si="1"/>
        <v>-369435</v>
      </c>
      <c r="DA9" s="1487">
        <f t="shared" si="1"/>
        <v>-863622</v>
      </c>
    </row>
    <row r="10" spans="1:105" ht="42.75">
      <c r="A10" s="1475" t="s">
        <v>148</v>
      </c>
      <c r="B10" s="17"/>
      <c r="C10" s="16"/>
      <c r="D10" s="16">
        <f t="shared" si="2"/>
        <v>0</v>
      </c>
      <c r="E10" s="19">
        <f t="shared" si="3"/>
        <v>0</v>
      </c>
      <c r="F10" s="46">
        <v>13627</v>
      </c>
      <c r="G10" s="43">
        <v>4773</v>
      </c>
      <c r="H10" s="24">
        <f t="shared" si="28"/>
        <v>13627</v>
      </c>
      <c r="I10" s="28">
        <f t="shared" si="28"/>
        <v>4773</v>
      </c>
      <c r="J10" s="46"/>
      <c r="K10" s="43"/>
      <c r="L10" s="24">
        <f t="shared" si="30"/>
        <v>0</v>
      </c>
      <c r="M10" s="28">
        <f t="shared" si="31"/>
        <v>0</v>
      </c>
      <c r="N10" s="46">
        <v>-7732</v>
      </c>
      <c r="O10" s="43">
        <v>-29341</v>
      </c>
      <c r="P10" s="804">
        <f t="shared" si="4"/>
        <v>-7732</v>
      </c>
      <c r="Q10" s="805">
        <f t="shared" si="5"/>
        <v>-29341</v>
      </c>
      <c r="R10" s="46"/>
      <c r="S10" s="43"/>
      <c r="T10" s="804">
        <f t="shared" si="6"/>
        <v>0</v>
      </c>
      <c r="U10" s="805">
        <f t="shared" si="7"/>
        <v>0</v>
      </c>
      <c r="V10" s="46"/>
      <c r="W10" s="43"/>
      <c r="X10" s="24">
        <f t="shared" si="32"/>
        <v>0</v>
      </c>
      <c r="Y10" s="28">
        <f t="shared" si="33"/>
        <v>0</v>
      </c>
      <c r="Z10" s="46">
        <v>-4827</v>
      </c>
      <c r="AA10" s="43">
        <v>-9303</v>
      </c>
      <c r="AB10" s="804">
        <f t="shared" si="8"/>
        <v>-4827</v>
      </c>
      <c r="AC10" s="805">
        <f t="shared" si="9"/>
        <v>-9303</v>
      </c>
      <c r="AD10" s="46">
        <v>63</v>
      </c>
      <c r="AE10" s="43">
        <v>-3775</v>
      </c>
      <c r="AF10" s="804">
        <f t="shared" si="10"/>
        <v>63</v>
      </c>
      <c r="AG10" s="805">
        <f t="shared" si="11"/>
        <v>-3775</v>
      </c>
      <c r="AH10" s="46"/>
      <c r="AI10" s="43"/>
      <c r="AJ10" s="24">
        <f t="shared" si="29"/>
        <v>0</v>
      </c>
      <c r="AK10" s="28">
        <f t="shared" si="29"/>
        <v>0</v>
      </c>
      <c r="AL10" s="46"/>
      <c r="AM10" s="43"/>
      <c r="AN10" s="24">
        <f t="shared" si="34"/>
        <v>0</v>
      </c>
      <c r="AO10" s="28">
        <f t="shared" si="35"/>
        <v>0</v>
      </c>
      <c r="AP10" s="46">
        <v>-25600</v>
      </c>
      <c r="AQ10" s="43">
        <v>-27197</v>
      </c>
      <c r="AR10" s="804">
        <f t="shared" si="12"/>
        <v>-25600</v>
      </c>
      <c r="AS10" s="805">
        <f t="shared" si="13"/>
        <v>-27197</v>
      </c>
      <c r="AT10" s="46">
        <v>9611</v>
      </c>
      <c r="AU10" s="43">
        <v>-12779</v>
      </c>
      <c r="AV10" s="803">
        <f t="shared" si="14"/>
        <v>9611</v>
      </c>
      <c r="AW10" s="1245">
        <f t="shared" si="15"/>
        <v>-12779</v>
      </c>
      <c r="AX10" s="29">
        <v>13274</v>
      </c>
      <c r="AY10" s="30">
        <v>9332</v>
      </c>
      <c r="AZ10" s="30">
        <f t="shared" si="36"/>
        <v>13274</v>
      </c>
      <c r="BA10" s="31">
        <f t="shared" si="37"/>
        <v>9332</v>
      </c>
      <c r="BB10" s="46">
        <v>7249</v>
      </c>
      <c r="BC10" s="43">
        <v>15422</v>
      </c>
      <c r="BD10" s="804">
        <f t="shared" si="16"/>
        <v>7249</v>
      </c>
      <c r="BE10" s="805">
        <f t="shared" si="17"/>
        <v>15422</v>
      </c>
      <c r="BF10" s="48"/>
      <c r="BG10" s="49"/>
      <c r="BH10" s="24">
        <f t="shared" si="38"/>
        <v>0</v>
      </c>
      <c r="BI10" s="28">
        <f t="shared" si="39"/>
        <v>0</v>
      </c>
      <c r="BJ10" s="46">
        <v>34289</v>
      </c>
      <c r="BK10" s="43">
        <v>6059</v>
      </c>
      <c r="BL10" s="804">
        <f t="shared" si="18"/>
        <v>34289</v>
      </c>
      <c r="BM10" s="805">
        <f t="shared" si="19"/>
        <v>6059</v>
      </c>
      <c r="BN10" s="46"/>
      <c r="BO10" s="43"/>
      <c r="BP10" s="804">
        <f t="shared" si="20"/>
        <v>0</v>
      </c>
      <c r="BQ10" s="804">
        <f t="shared" si="21"/>
        <v>0</v>
      </c>
      <c r="BR10" s="46">
        <v>2768</v>
      </c>
      <c r="BS10" s="43">
        <v>-2517</v>
      </c>
      <c r="BT10" s="24">
        <f t="shared" si="40"/>
        <v>2768</v>
      </c>
      <c r="BU10" s="28">
        <f t="shared" si="41"/>
        <v>-2517</v>
      </c>
      <c r="BV10" s="294"/>
      <c r="BW10" s="24"/>
      <c r="BX10" s="24"/>
      <c r="BY10" s="28"/>
      <c r="BZ10" s="399">
        <v>22158</v>
      </c>
      <c r="CA10" s="394">
        <v>34020</v>
      </c>
      <c r="CB10" s="807">
        <f t="shared" si="22"/>
        <v>22158</v>
      </c>
      <c r="CC10" s="808">
        <f t="shared" si="23"/>
        <v>34020</v>
      </c>
      <c r="CD10" s="33">
        <v>-859</v>
      </c>
      <c r="CE10" s="34">
        <v>-1631</v>
      </c>
      <c r="CF10" s="34">
        <f t="shared" si="42"/>
        <v>-859</v>
      </c>
      <c r="CG10" s="35">
        <f t="shared" si="43"/>
        <v>-1631</v>
      </c>
      <c r="CH10" s="36"/>
      <c r="CI10" s="37"/>
      <c r="CJ10" s="804">
        <f t="shared" si="24"/>
        <v>0</v>
      </c>
      <c r="CK10" s="805">
        <f t="shared" si="25"/>
        <v>0</v>
      </c>
      <c r="CL10" s="46"/>
      <c r="CM10" s="43"/>
      <c r="CN10" s="24">
        <f t="shared" si="44"/>
        <v>0</v>
      </c>
      <c r="CO10" s="28">
        <f t="shared" si="45"/>
        <v>0</v>
      </c>
      <c r="CP10" s="18">
        <f t="shared" si="26"/>
        <v>64021</v>
      </c>
      <c r="CQ10" s="17">
        <f t="shared" si="0"/>
        <v>-16937</v>
      </c>
      <c r="CR10" s="17">
        <f t="shared" si="0"/>
        <v>64021</v>
      </c>
      <c r="CS10" s="1487">
        <f t="shared" si="0"/>
        <v>-16937</v>
      </c>
      <c r="CT10" s="44"/>
      <c r="CU10" s="43"/>
      <c r="CV10" s="37">
        <f t="shared" si="46"/>
        <v>0</v>
      </c>
      <c r="CW10" s="38">
        <f t="shared" si="47"/>
        <v>0</v>
      </c>
      <c r="CX10" s="17">
        <f t="shared" si="27"/>
        <v>64021</v>
      </c>
      <c r="CY10" s="17">
        <f t="shared" si="1"/>
        <v>-16937</v>
      </c>
      <c r="CZ10" s="17">
        <f t="shared" si="1"/>
        <v>64021</v>
      </c>
      <c r="DA10" s="1487">
        <f t="shared" si="1"/>
        <v>-16937</v>
      </c>
    </row>
    <row r="11" spans="1:105" ht="14.25">
      <c r="A11" s="1475" t="s">
        <v>149</v>
      </c>
      <c r="B11" s="76"/>
      <c r="C11" s="15"/>
      <c r="D11" s="16">
        <f t="shared" si="2"/>
        <v>0</v>
      </c>
      <c r="E11" s="19">
        <f t="shared" si="3"/>
        <v>0</v>
      </c>
      <c r="F11" s="27"/>
      <c r="G11" s="24"/>
      <c r="H11" s="24">
        <f t="shared" si="28"/>
        <v>0</v>
      </c>
      <c r="I11" s="28">
        <f t="shared" si="28"/>
        <v>0</v>
      </c>
      <c r="J11" s="27"/>
      <c r="K11" s="24"/>
      <c r="L11" s="24">
        <f t="shared" si="30"/>
        <v>0</v>
      </c>
      <c r="M11" s="28">
        <f t="shared" si="31"/>
        <v>0</v>
      </c>
      <c r="N11" s="27"/>
      <c r="O11" s="24"/>
      <c r="P11" s="804">
        <f t="shared" si="4"/>
        <v>0</v>
      </c>
      <c r="Q11" s="805">
        <f t="shared" si="5"/>
        <v>0</v>
      </c>
      <c r="R11" s="27"/>
      <c r="S11" s="24"/>
      <c r="T11" s="804">
        <f t="shared" si="6"/>
        <v>0</v>
      </c>
      <c r="U11" s="805">
        <f t="shared" si="7"/>
        <v>0</v>
      </c>
      <c r="V11" s="27">
        <v>51</v>
      </c>
      <c r="W11" s="24">
        <v>3</v>
      </c>
      <c r="X11" s="24">
        <f t="shared" si="32"/>
        <v>51</v>
      </c>
      <c r="Y11" s="28">
        <f t="shared" si="33"/>
        <v>3</v>
      </c>
      <c r="Z11" s="27"/>
      <c r="AA11" s="24"/>
      <c r="AB11" s="804">
        <f t="shared" si="8"/>
        <v>0</v>
      </c>
      <c r="AC11" s="805">
        <f t="shared" si="9"/>
        <v>0</v>
      </c>
      <c r="AD11" s="27"/>
      <c r="AE11" s="24"/>
      <c r="AF11" s="804">
        <f t="shared" si="10"/>
        <v>0</v>
      </c>
      <c r="AG11" s="805">
        <f t="shared" si="11"/>
        <v>0</v>
      </c>
      <c r="AH11" s="27"/>
      <c r="AI11" s="24"/>
      <c r="AJ11" s="24">
        <f t="shared" si="29"/>
        <v>0</v>
      </c>
      <c r="AK11" s="28">
        <f t="shared" si="29"/>
        <v>0</v>
      </c>
      <c r="AL11" s="27"/>
      <c r="AM11" s="24"/>
      <c r="AN11" s="24">
        <f t="shared" si="34"/>
        <v>0</v>
      </c>
      <c r="AO11" s="28">
        <f t="shared" si="35"/>
        <v>0</v>
      </c>
      <c r="AP11" s="27"/>
      <c r="AQ11" s="24">
        <v>93169</v>
      </c>
      <c r="AR11" s="804">
        <f t="shared" si="12"/>
        <v>0</v>
      </c>
      <c r="AS11" s="805">
        <f t="shared" si="13"/>
        <v>93169</v>
      </c>
      <c r="AT11" s="27">
        <v>1544</v>
      </c>
      <c r="AU11" s="24">
        <v>4540</v>
      </c>
      <c r="AV11" s="803">
        <f t="shared" si="14"/>
        <v>1544</v>
      </c>
      <c r="AW11" s="1245">
        <f t="shared" si="15"/>
        <v>4540</v>
      </c>
      <c r="AX11" s="27">
        <v>631</v>
      </c>
      <c r="AY11" s="24">
        <v>564</v>
      </c>
      <c r="AZ11" s="30">
        <f t="shared" si="36"/>
        <v>631</v>
      </c>
      <c r="BA11" s="31">
        <f t="shared" si="37"/>
        <v>564</v>
      </c>
      <c r="BB11" s="27">
        <v>2092</v>
      </c>
      <c r="BC11" s="24">
        <v>2279</v>
      </c>
      <c r="BD11" s="804">
        <f t="shared" si="16"/>
        <v>2092</v>
      </c>
      <c r="BE11" s="805">
        <f t="shared" si="17"/>
        <v>2279</v>
      </c>
      <c r="BF11" s="27"/>
      <c r="BG11" s="24"/>
      <c r="BH11" s="24">
        <f t="shared" si="38"/>
        <v>0</v>
      </c>
      <c r="BI11" s="28">
        <f t="shared" si="39"/>
        <v>0</v>
      </c>
      <c r="BJ11" s="27">
        <f>225-37500</f>
        <v>-37275</v>
      </c>
      <c r="BK11" s="24">
        <v>6354</v>
      </c>
      <c r="BL11" s="804">
        <f t="shared" si="18"/>
        <v>-37275</v>
      </c>
      <c r="BM11" s="805">
        <f t="shared" si="19"/>
        <v>6354</v>
      </c>
      <c r="BN11" s="27"/>
      <c r="BO11" s="24"/>
      <c r="BP11" s="804">
        <f t="shared" si="20"/>
        <v>0</v>
      </c>
      <c r="BQ11" s="804">
        <f t="shared" si="21"/>
        <v>0</v>
      </c>
      <c r="BR11" s="27"/>
      <c r="BS11" s="24"/>
      <c r="BT11" s="24">
        <f t="shared" si="40"/>
        <v>0</v>
      </c>
      <c r="BU11" s="28">
        <f t="shared" si="41"/>
        <v>0</v>
      </c>
      <c r="BV11" s="294"/>
      <c r="BW11" s="24"/>
      <c r="BX11" s="24"/>
      <c r="BY11" s="28"/>
      <c r="BZ11" s="399">
        <v>16562</v>
      </c>
      <c r="CA11" s="394">
        <v>39086</v>
      </c>
      <c r="CB11" s="807">
        <f t="shared" si="22"/>
        <v>16562</v>
      </c>
      <c r="CC11" s="808">
        <f t="shared" si="23"/>
        <v>39086</v>
      </c>
      <c r="CD11" s="33">
        <v>403</v>
      </c>
      <c r="CE11" s="34">
        <v>229</v>
      </c>
      <c r="CF11" s="34">
        <f t="shared" si="42"/>
        <v>403</v>
      </c>
      <c r="CG11" s="35">
        <f t="shared" si="43"/>
        <v>229</v>
      </c>
      <c r="CH11" s="36">
        <v>149</v>
      </c>
      <c r="CI11" s="37">
        <v>22</v>
      </c>
      <c r="CJ11" s="804">
        <f t="shared" si="24"/>
        <v>149</v>
      </c>
      <c r="CK11" s="805">
        <f t="shared" si="25"/>
        <v>22</v>
      </c>
      <c r="CL11" s="27"/>
      <c r="CM11" s="24"/>
      <c r="CN11" s="24">
        <f t="shared" si="44"/>
        <v>0</v>
      </c>
      <c r="CO11" s="28">
        <f t="shared" si="45"/>
        <v>0</v>
      </c>
      <c r="CP11" s="18">
        <f t="shared" si="26"/>
        <v>-15843</v>
      </c>
      <c r="CQ11" s="17">
        <f t="shared" si="0"/>
        <v>146246</v>
      </c>
      <c r="CR11" s="17">
        <f t="shared" si="0"/>
        <v>-15843</v>
      </c>
      <c r="CS11" s="1487">
        <f t="shared" si="0"/>
        <v>146246</v>
      </c>
      <c r="CT11" s="306"/>
      <c r="CU11" s="37"/>
      <c r="CV11" s="37">
        <f t="shared" si="46"/>
        <v>0</v>
      </c>
      <c r="CW11" s="38">
        <f t="shared" si="47"/>
        <v>0</v>
      </c>
      <c r="CX11" s="17">
        <f t="shared" si="27"/>
        <v>-15843</v>
      </c>
      <c r="CY11" s="17">
        <f t="shared" si="1"/>
        <v>146246</v>
      </c>
      <c r="CZ11" s="17">
        <f t="shared" si="1"/>
        <v>-15843</v>
      </c>
      <c r="DA11" s="1487">
        <f t="shared" si="1"/>
        <v>146246</v>
      </c>
    </row>
    <row r="12" spans="1:105" s="1686" customFormat="1" ht="14.25">
      <c r="A12" s="1679" t="s">
        <v>469</v>
      </c>
      <c r="B12" s="1687">
        <f>SUM(B5:B11)</f>
        <v>1010754</v>
      </c>
      <c r="C12" s="1688">
        <f>SUM(C5:C11)</f>
        <v>1067511</v>
      </c>
      <c r="D12" s="1681">
        <f t="shared" si="2"/>
        <v>1010754</v>
      </c>
      <c r="E12" s="1682">
        <f t="shared" si="3"/>
        <v>1067511</v>
      </c>
      <c r="F12" s="1689">
        <f aca="true" t="shared" si="48" ref="F12:BO12">SUM(F5:F11)</f>
        <v>24048</v>
      </c>
      <c r="G12" s="1688">
        <f t="shared" si="48"/>
        <v>21521</v>
      </c>
      <c r="H12" s="1658">
        <f t="shared" si="28"/>
        <v>24048</v>
      </c>
      <c r="I12" s="1659">
        <f t="shared" si="28"/>
        <v>21521</v>
      </c>
      <c r="J12" s="1689">
        <f t="shared" si="48"/>
        <v>126335</v>
      </c>
      <c r="K12" s="1688">
        <f t="shared" si="48"/>
        <v>136378</v>
      </c>
      <c r="L12" s="1658">
        <f t="shared" si="30"/>
        <v>126335</v>
      </c>
      <c r="M12" s="1659">
        <f t="shared" si="31"/>
        <v>136378</v>
      </c>
      <c r="N12" s="1689">
        <f t="shared" si="48"/>
        <v>2416054</v>
      </c>
      <c r="O12" s="1688">
        <f t="shared" si="48"/>
        <v>1878166</v>
      </c>
      <c r="P12" s="1662">
        <f t="shared" si="4"/>
        <v>2416054</v>
      </c>
      <c r="Q12" s="1663">
        <f t="shared" si="5"/>
        <v>1878166</v>
      </c>
      <c r="R12" s="1689">
        <f t="shared" si="48"/>
        <v>-317594</v>
      </c>
      <c r="S12" s="1688">
        <f t="shared" si="48"/>
        <v>-122083</v>
      </c>
      <c r="T12" s="1662">
        <f t="shared" si="6"/>
        <v>-317594</v>
      </c>
      <c r="U12" s="1663">
        <f t="shared" si="7"/>
        <v>-122083</v>
      </c>
      <c r="V12" s="1689">
        <f t="shared" si="48"/>
        <v>282055</v>
      </c>
      <c r="W12" s="1688">
        <f t="shared" si="48"/>
        <v>154710</v>
      </c>
      <c r="X12" s="1658">
        <f t="shared" si="32"/>
        <v>282055</v>
      </c>
      <c r="Y12" s="1659">
        <f t="shared" si="33"/>
        <v>154710</v>
      </c>
      <c r="Z12" s="1689">
        <f t="shared" si="48"/>
        <v>632728</v>
      </c>
      <c r="AA12" s="1688">
        <f t="shared" si="48"/>
        <v>1256976</v>
      </c>
      <c r="AB12" s="1662">
        <f t="shared" si="8"/>
        <v>632728</v>
      </c>
      <c r="AC12" s="1663">
        <f t="shared" si="9"/>
        <v>1256976</v>
      </c>
      <c r="AD12" s="1689">
        <f t="shared" si="48"/>
        <v>344767</v>
      </c>
      <c r="AE12" s="1688">
        <f t="shared" si="48"/>
        <v>190325</v>
      </c>
      <c r="AF12" s="1662">
        <f t="shared" si="10"/>
        <v>344767</v>
      </c>
      <c r="AG12" s="1663">
        <f t="shared" si="11"/>
        <v>190325</v>
      </c>
      <c r="AH12" s="1689">
        <f t="shared" si="48"/>
        <v>190152</v>
      </c>
      <c r="AI12" s="1688">
        <f t="shared" si="48"/>
        <v>169127</v>
      </c>
      <c r="AJ12" s="1658">
        <f t="shared" si="29"/>
        <v>190152</v>
      </c>
      <c r="AK12" s="1659">
        <f t="shared" si="29"/>
        <v>169127</v>
      </c>
      <c r="AL12" s="1689">
        <f t="shared" si="48"/>
        <v>49297</v>
      </c>
      <c r="AM12" s="1688">
        <f t="shared" si="48"/>
        <v>54770</v>
      </c>
      <c r="AN12" s="1658">
        <f t="shared" si="34"/>
        <v>49297</v>
      </c>
      <c r="AO12" s="1659">
        <f t="shared" si="35"/>
        <v>54770</v>
      </c>
      <c r="AP12" s="1689">
        <f t="shared" si="48"/>
        <v>4490984</v>
      </c>
      <c r="AQ12" s="1688">
        <f t="shared" si="48"/>
        <v>4080944</v>
      </c>
      <c r="AR12" s="1662">
        <f t="shared" si="12"/>
        <v>4490984</v>
      </c>
      <c r="AS12" s="1663">
        <f t="shared" si="13"/>
        <v>4080944</v>
      </c>
      <c r="AT12" s="1689">
        <f t="shared" si="48"/>
        <v>5130370</v>
      </c>
      <c r="AU12" s="1688">
        <f t="shared" si="48"/>
        <v>3869544</v>
      </c>
      <c r="AV12" s="1664">
        <f t="shared" si="14"/>
        <v>5130370</v>
      </c>
      <c r="AW12" s="1665">
        <f t="shared" si="15"/>
        <v>3869544</v>
      </c>
      <c r="AX12" s="1689">
        <f t="shared" si="48"/>
        <v>119066</v>
      </c>
      <c r="AY12" s="1688">
        <f t="shared" si="48"/>
        <v>110549</v>
      </c>
      <c r="AZ12" s="1666">
        <f t="shared" si="36"/>
        <v>119066</v>
      </c>
      <c r="BA12" s="1667">
        <f t="shared" si="37"/>
        <v>110549</v>
      </c>
      <c r="BB12" s="1689">
        <f t="shared" si="48"/>
        <v>167324</v>
      </c>
      <c r="BC12" s="1688">
        <f t="shared" si="48"/>
        <v>163314</v>
      </c>
      <c r="BD12" s="1662">
        <f t="shared" si="16"/>
        <v>167324</v>
      </c>
      <c r="BE12" s="1663">
        <f t="shared" si="17"/>
        <v>163314</v>
      </c>
      <c r="BF12" s="1689">
        <f t="shared" si="48"/>
        <v>475953</v>
      </c>
      <c r="BG12" s="1688">
        <f t="shared" si="48"/>
        <v>388083</v>
      </c>
      <c r="BH12" s="1658">
        <f t="shared" si="38"/>
        <v>475953</v>
      </c>
      <c r="BI12" s="1659">
        <f t="shared" si="39"/>
        <v>388083</v>
      </c>
      <c r="BJ12" s="1689">
        <f t="shared" si="48"/>
        <v>1076456</v>
      </c>
      <c r="BK12" s="1688">
        <f t="shared" si="48"/>
        <v>958892</v>
      </c>
      <c r="BL12" s="1662">
        <f t="shared" si="18"/>
        <v>1076456</v>
      </c>
      <c r="BM12" s="1663">
        <f t="shared" si="19"/>
        <v>958892</v>
      </c>
      <c r="BN12" s="1689">
        <f t="shared" si="48"/>
        <v>340453</v>
      </c>
      <c r="BO12" s="1688">
        <f t="shared" si="48"/>
        <v>495270</v>
      </c>
      <c r="BP12" s="1688">
        <f aca="true" t="shared" si="49" ref="BP12:CU12">SUM(BP5:BP11)</f>
        <v>340453</v>
      </c>
      <c r="BQ12" s="1690">
        <f t="shared" si="49"/>
        <v>495270</v>
      </c>
      <c r="BR12" s="1689">
        <f t="shared" si="49"/>
        <v>418054</v>
      </c>
      <c r="BS12" s="1688">
        <f t="shared" si="49"/>
        <v>392182</v>
      </c>
      <c r="BT12" s="1658">
        <f t="shared" si="40"/>
        <v>418054</v>
      </c>
      <c r="BU12" s="1659">
        <f t="shared" si="41"/>
        <v>392182</v>
      </c>
      <c r="BV12" s="1689">
        <f t="shared" si="49"/>
        <v>0</v>
      </c>
      <c r="BW12" s="1688">
        <f t="shared" si="49"/>
        <v>0</v>
      </c>
      <c r="BX12" s="1688">
        <f t="shared" si="49"/>
        <v>0</v>
      </c>
      <c r="BY12" s="1690">
        <f t="shared" si="49"/>
        <v>0</v>
      </c>
      <c r="BZ12" s="1687">
        <f t="shared" si="49"/>
        <v>3884008</v>
      </c>
      <c r="CA12" s="1688">
        <f t="shared" si="49"/>
        <v>3702938</v>
      </c>
      <c r="CB12" s="1668">
        <f t="shared" si="22"/>
        <v>3884008</v>
      </c>
      <c r="CC12" s="1669">
        <f t="shared" si="23"/>
        <v>3702938</v>
      </c>
      <c r="CD12" s="1689">
        <f t="shared" si="49"/>
        <v>-20829</v>
      </c>
      <c r="CE12" s="1688">
        <f t="shared" si="49"/>
        <v>-3820</v>
      </c>
      <c r="CF12" s="1670">
        <f t="shared" si="42"/>
        <v>-20829</v>
      </c>
      <c r="CG12" s="1671">
        <f t="shared" si="43"/>
        <v>-3820</v>
      </c>
      <c r="CH12" s="1689">
        <f t="shared" si="49"/>
        <v>365580</v>
      </c>
      <c r="CI12" s="1688">
        <f t="shared" si="49"/>
        <v>215116</v>
      </c>
      <c r="CJ12" s="1662">
        <f t="shared" si="24"/>
        <v>365580</v>
      </c>
      <c r="CK12" s="1663">
        <f t="shared" si="25"/>
        <v>215116</v>
      </c>
      <c r="CL12" s="1689">
        <f t="shared" si="49"/>
        <v>347506</v>
      </c>
      <c r="CM12" s="1688">
        <f t="shared" si="49"/>
        <v>346327</v>
      </c>
      <c r="CN12" s="1658">
        <f t="shared" si="44"/>
        <v>347506</v>
      </c>
      <c r="CO12" s="1659">
        <f t="shared" si="45"/>
        <v>346327</v>
      </c>
      <c r="CP12" s="1683">
        <f t="shared" si="26"/>
        <v>21553521</v>
      </c>
      <c r="CQ12" s="1680">
        <f t="shared" si="0"/>
        <v>19526740</v>
      </c>
      <c r="CR12" s="1680">
        <f t="shared" si="0"/>
        <v>21553521</v>
      </c>
      <c r="CS12" s="1685">
        <f t="shared" si="0"/>
        <v>19526740</v>
      </c>
      <c r="CT12" s="1687">
        <f t="shared" si="49"/>
        <v>50057</v>
      </c>
      <c r="CU12" s="1688">
        <f t="shared" si="49"/>
        <v>45354</v>
      </c>
      <c r="CV12" s="1676">
        <f t="shared" si="46"/>
        <v>50057</v>
      </c>
      <c r="CW12" s="1677">
        <f t="shared" si="47"/>
        <v>45354</v>
      </c>
      <c r="CX12" s="1680">
        <f t="shared" si="27"/>
        <v>21603578</v>
      </c>
      <c r="CY12" s="1680">
        <f t="shared" si="1"/>
        <v>19572094</v>
      </c>
      <c r="CZ12" s="1680">
        <f t="shared" si="1"/>
        <v>21603578</v>
      </c>
      <c r="DA12" s="1685">
        <f t="shared" si="1"/>
        <v>19572094</v>
      </c>
    </row>
    <row r="13" spans="1:105" ht="42.75">
      <c r="A13" s="1475" t="s">
        <v>150</v>
      </c>
      <c r="B13" s="76">
        <v>143463</v>
      </c>
      <c r="C13" s="15">
        <v>138683</v>
      </c>
      <c r="D13" s="16">
        <f aca="true" t="shared" si="50" ref="D13:D24">B13</f>
        <v>143463</v>
      </c>
      <c r="E13" s="19">
        <f aca="true" t="shared" si="51" ref="E13:E24">C13</f>
        <v>138683</v>
      </c>
      <c r="F13" s="27">
        <v>289690</v>
      </c>
      <c r="G13" s="24">
        <v>334690</v>
      </c>
      <c r="H13" s="24">
        <f aca="true" t="shared" si="52" ref="H13:H40">F13</f>
        <v>289690</v>
      </c>
      <c r="I13" s="28">
        <f aca="true" t="shared" si="53" ref="I13:I40">G13</f>
        <v>334690</v>
      </c>
      <c r="J13" s="27">
        <v>20159</v>
      </c>
      <c r="K13" s="24">
        <v>20818</v>
      </c>
      <c r="L13" s="24">
        <f t="shared" si="30"/>
        <v>20159</v>
      </c>
      <c r="M13" s="28">
        <f t="shared" si="31"/>
        <v>20818</v>
      </c>
      <c r="N13" s="27">
        <v>65651</v>
      </c>
      <c r="O13" s="24">
        <v>72377</v>
      </c>
      <c r="P13" s="804">
        <f t="shared" si="4"/>
        <v>65651</v>
      </c>
      <c r="Q13" s="805">
        <f t="shared" si="5"/>
        <v>72377</v>
      </c>
      <c r="R13" s="27">
        <v>27829</v>
      </c>
      <c r="S13" s="24">
        <v>20056</v>
      </c>
      <c r="T13" s="804">
        <f t="shared" si="6"/>
        <v>27829</v>
      </c>
      <c r="U13" s="805">
        <f t="shared" si="7"/>
        <v>20056</v>
      </c>
      <c r="V13" s="27">
        <v>15115</v>
      </c>
      <c r="W13" s="24">
        <v>19807</v>
      </c>
      <c r="X13" s="24">
        <f t="shared" si="32"/>
        <v>15115</v>
      </c>
      <c r="Y13" s="28">
        <f t="shared" si="33"/>
        <v>19807</v>
      </c>
      <c r="Z13" s="27">
        <v>382480</v>
      </c>
      <c r="AA13" s="24">
        <v>114759</v>
      </c>
      <c r="AB13" s="804">
        <f t="shared" si="8"/>
        <v>382480</v>
      </c>
      <c r="AC13" s="805">
        <f t="shared" si="9"/>
        <v>114759</v>
      </c>
      <c r="AD13" s="27">
        <v>740231</v>
      </c>
      <c r="AE13" s="24">
        <v>620965</v>
      </c>
      <c r="AF13" s="804">
        <f t="shared" si="10"/>
        <v>740231</v>
      </c>
      <c r="AG13" s="805">
        <f t="shared" si="11"/>
        <v>620965</v>
      </c>
      <c r="AH13" s="27">
        <v>9502</v>
      </c>
      <c r="AI13" s="24">
        <v>15251</v>
      </c>
      <c r="AJ13" s="24">
        <f aca="true" t="shared" si="54" ref="AJ13:AJ40">AH13</f>
        <v>9502</v>
      </c>
      <c r="AK13" s="28">
        <f aca="true" t="shared" si="55" ref="AK13:AK40">AI13</f>
        <v>15251</v>
      </c>
      <c r="AL13" s="27">
        <v>2852</v>
      </c>
      <c r="AM13" s="24">
        <v>7859</v>
      </c>
      <c r="AN13" s="24">
        <f t="shared" si="34"/>
        <v>2852</v>
      </c>
      <c r="AO13" s="28">
        <f t="shared" si="35"/>
        <v>7859</v>
      </c>
      <c r="AP13" s="27">
        <v>20248</v>
      </c>
      <c r="AQ13" s="24">
        <v>24298</v>
      </c>
      <c r="AR13" s="804">
        <f t="shared" si="12"/>
        <v>20248</v>
      </c>
      <c r="AS13" s="805">
        <f t="shared" si="13"/>
        <v>24298</v>
      </c>
      <c r="AT13" s="27">
        <v>104279</v>
      </c>
      <c r="AU13" s="24">
        <v>108288</v>
      </c>
      <c r="AV13" s="803">
        <f t="shared" si="14"/>
        <v>104279</v>
      </c>
      <c r="AW13" s="1245">
        <f t="shared" si="15"/>
        <v>108288</v>
      </c>
      <c r="AX13" s="27">
        <v>40784</v>
      </c>
      <c r="AY13" s="24">
        <v>14299</v>
      </c>
      <c r="AZ13" s="30">
        <f t="shared" si="36"/>
        <v>40784</v>
      </c>
      <c r="BA13" s="31">
        <f t="shared" si="37"/>
        <v>14299</v>
      </c>
      <c r="BB13" s="27">
        <v>27843</v>
      </c>
      <c r="BC13" s="24">
        <v>30072</v>
      </c>
      <c r="BD13" s="804">
        <f t="shared" si="16"/>
        <v>27843</v>
      </c>
      <c r="BE13" s="805">
        <f t="shared" si="17"/>
        <v>30072</v>
      </c>
      <c r="BF13" s="27">
        <v>595</v>
      </c>
      <c r="BG13" s="24">
        <v>3992</v>
      </c>
      <c r="BH13" s="24">
        <f t="shared" si="38"/>
        <v>595</v>
      </c>
      <c r="BI13" s="28">
        <f t="shared" si="39"/>
        <v>3992</v>
      </c>
      <c r="BJ13" s="27">
        <v>7161</v>
      </c>
      <c r="BK13" s="24">
        <v>5373</v>
      </c>
      <c r="BL13" s="804">
        <f t="shared" si="18"/>
        <v>7161</v>
      </c>
      <c r="BM13" s="805">
        <f t="shared" si="19"/>
        <v>5373</v>
      </c>
      <c r="BN13" s="27">
        <v>17495</v>
      </c>
      <c r="BO13" s="24">
        <v>14135</v>
      </c>
      <c r="BP13" s="24"/>
      <c r="BQ13" s="28"/>
      <c r="BR13" s="27">
        <v>250079</v>
      </c>
      <c r="BS13" s="24">
        <v>39840</v>
      </c>
      <c r="BT13" s="24">
        <f t="shared" si="40"/>
        <v>250079</v>
      </c>
      <c r="BU13" s="28">
        <f t="shared" si="41"/>
        <v>39840</v>
      </c>
      <c r="BV13" s="294"/>
      <c r="BW13" s="24"/>
      <c r="BX13" s="24"/>
      <c r="BY13" s="28"/>
      <c r="BZ13" s="397"/>
      <c r="CA13" s="393"/>
      <c r="CB13" s="807">
        <f t="shared" si="22"/>
        <v>0</v>
      </c>
      <c r="CC13" s="808">
        <f t="shared" si="23"/>
        <v>0</v>
      </c>
      <c r="CD13" s="33">
        <v>5970</v>
      </c>
      <c r="CE13" s="34">
        <v>813</v>
      </c>
      <c r="CF13" s="34">
        <f t="shared" si="42"/>
        <v>5970</v>
      </c>
      <c r="CG13" s="35">
        <f t="shared" si="43"/>
        <v>813</v>
      </c>
      <c r="CH13" s="36">
        <v>15510</v>
      </c>
      <c r="CI13" s="37">
        <v>27285</v>
      </c>
      <c r="CJ13" s="804">
        <f t="shared" si="24"/>
        <v>15510</v>
      </c>
      <c r="CK13" s="805">
        <f t="shared" si="25"/>
        <v>27285</v>
      </c>
      <c r="CL13" s="27">
        <v>5320</v>
      </c>
      <c r="CM13" s="24">
        <v>12951</v>
      </c>
      <c r="CN13" s="24">
        <f t="shared" si="44"/>
        <v>5320</v>
      </c>
      <c r="CO13" s="28">
        <f t="shared" si="45"/>
        <v>12951</v>
      </c>
      <c r="CP13" s="18">
        <f t="shared" si="26"/>
        <v>2192256</v>
      </c>
      <c r="CQ13" s="17">
        <f t="shared" si="0"/>
        <v>1646611</v>
      </c>
      <c r="CR13" s="17">
        <f t="shared" si="0"/>
        <v>2174761</v>
      </c>
      <c r="CS13" s="1487">
        <f t="shared" si="0"/>
        <v>1632476</v>
      </c>
      <c r="CT13" s="306">
        <v>1126</v>
      </c>
      <c r="CU13" s="37">
        <v>990</v>
      </c>
      <c r="CV13" s="37">
        <f t="shared" si="46"/>
        <v>1126</v>
      </c>
      <c r="CW13" s="38">
        <f t="shared" si="47"/>
        <v>990</v>
      </c>
      <c r="CX13" s="17">
        <f t="shared" si="27"/>
        <v>2193382</v>
      </c>
      <c r="CY13" s="17">
        <f t="shared" si="1"/>
        <v>1647601</v>
      </c>
      <c r="CZ13" s="17">
        <f t="shared" si="1"/>
        <v>2175887</v>
      </c>
      <c r="DA13" s="1487">
        <f t="shared" si="1"/>
        <v>1633466</v>
      </c>
    </row>
    <row r="14" spans="1:105" ht="14.25">
      <c r="A14" s="1475" t="s">
        <v>151</v>
      </c>
      <c r="B14" s="76"/>
      <c r="C14" s="15"/>
      <c r="D14" s="16">
        <f t="shared" si="50"/>
        <v>0</v>
      </c>
      <c r="E14" s="19">
        <f t="shared" si="51"/>
        <v>0</v>
      </c>
      <c r="F14" s="27"/>
      <c r="G14" s="24"/>
      <c r="H14" s="24">
        <f t="shared" si="52"/>
        <v>0</v>
      </c>
      <c r="I14" s="28">
        <f t="shared" si="53"/>
        <v>0</v>
      </c>
      <c r="J14" s="27"/>
      <c r="K14" s="410"/>
      <c r="L14" s="24">
        <f t="shared" si="30"/>
        <v>0</v>
      </c>
      <c r="M14" s="28">
        <f t="shared" si="31"/>
        <v>0</v>
      </c>
      <c r="N14" s="27"/>
      <c r="O14" s="24"/>
      <c r="P14" s="804">
        <f t="shared" si="4"/>
        <v>0</v>
      </c>
      <c r="Q14" s="805">
        <f t="shared" si="5"/>
        <v>0</v>
      </c>
      <c r="R14" s="27"/>
      <c r="S14" s="24"/>
      <c r="T14" s="804">
        <f t="shared" si="6"/>
        <v>0</v>
      </c>
      <c r="U14" s="805">
        <f t="shared" si="7"/>
        <v>0</v>
      </c>
      <c r="V14" s="27"/>
      <c r="W14" s="24"/>
      <c r="X14" s="24">
        <f t="shared" si="32"/>
        <v>0</v>
      </c>
      <c r="Y14" s="28">
        <f t="shared" si="33"/>
        <v>0</v>
      </c>
      <c r="Z14" s="27"/>
      <c r="AA14" s="24"/>
      <c r="AB14" s="804">
        <f t="shared" si="8"/>
        <v>0</v>
      </c>
      <c r="AC14" s="805">
        <f t="shared" si="9"/>
        <v>0</v>
      </c>
      <c r="AD14" s="27"/>
      <c r="AE14" s="24"/>
      <c r="AF14" s="804">
        <f t="shared" si="10"/>
        <v>0</v>
      </c>
      <c r="AG14" s="805">
        <f t="shared" si="11"/>
        <v>0</v>
      </c>
      <c r="AH14" s="27"/>
      <c r="AI14" s="24"/>
      <c r="AJ14" s="24">
        <f t="shared" si="54"/>
        <v>0</v>
      </c>
      <c r="AK14" s="28">
        <f t="shared" si="55"/>
        <v>0</v>
      </c>
      <c r="AL14" s="27"/>
      <c r="AM14" s="24"/>
      <c r="AN14" s="24">
        <f t="shared" si="34"/>
        <v>0</v>
      </c>
      <c r="AO14" s="28">
        <f t="shared" si="35"/>
        <v>0</v>
      </c>
      <c r="AP14" s="27"/>
      <c r="AQ14" s="24"/>
      <c r="AR14" s="804">
        <f t="shared" si="12"/>
        <v>0</v>
      </c>
      <c r="AS14" s="805">
        <f t="shared" si="13"/>
        <v>0</v>
      </c>
      <c r="AT14" s="27"/>
      <c r="AU14" s="24"/>
      <c r="AV14" s="803">
        <f t="shared" si="14"/>
        <v>0</v>
      </c>
      <c r="AW14" s="1245">
        <f t="shared" si="15"/>
        <v>0</v>
      </c>
      <c r="AX14" s="27"/>
      <c r="AY14" s="24"/>
      <c r="AZ14" s="30">
        <f t="shared" si="36"/>
        <v>0</v>
      </c>
      <c r="BA14" s="31">
        <f t="shared" si="37"/>
        <v>0</v>
      </c>
      <c r="BB14" s="27"/>
      <c r="BC14" s="24"/>
      <c r="BD14" s="804">
        <f t="shared" si="16"/>
        <v>0</v>
      </c>
      <c r="BE14" s="805">
        <f t="shared" si="17"/>
        <v>0</v>
      </c>
      <c r="BF14" s="27"/>
      <c r="BG14" s="24"/>
      <c r="BH14" s="24">
        <f t="shared" si="38"/>
        <v>0</v>
      </c>
      <c r="BI14" s="28">
        <f t="shared" si="39"/>
        <v>0</v>
      </c>
      <c r="BJ14" s="27"/>
      <c r="BK14" s="24"/>
      <c r="BL14" s="804">
        <f t="shared" si="18"/>
        <v>0</v>
      </c>
      <c r="BM14" s="805">
        <f t="shared" si="19"/>
        <v>0</v>
      </c>
      <c r="BN14" s="27"/>
      <c r="BO14" s="24"/>
      <c r="BP14" s="24"/>
      <c r="BQ14" s="28"/>
      <c r="BR14" s="27"/>
      <c r="BS14" s="24"/>
      <c r="BT14" s="24">
        <f t="shared" si="40"/>
        <v>0</v>
      </c>
      <c r="BU14" s="28">
        <f t="shared" si="41"/>
        <v>0</v>
      </c>
      <c r="BV14" s="294"/>
      <c r="BW14" s="24"/>
      <c r="BX14" s="24"/>
      <c r="BY14" s="28"/>
      <c r="BZ14" s="400"/>
      <c r="CA14" s="395"/>
      <c r="CB14" s="807">
        <f t="shared" si="22"/>
        <v>0</v>
      </c>
      <c r="CC14" s="808">
        <f t="shared" si="23"/>
        <v>0</v>
      </c>
      <c r="CD14" s="33"/>
      <c r="CE14" s="34"/>
      <c r="CF14" s="34">
        <f t="shared" si="42"/>
        <v>0</v>
      </c>
      <c r="CG14" s="35">
        <f t="shared" si="43"/>
        <v>0</v>
      </c>
      <c r="CH14" s="36"/>
      <c r="CI14" s="37"/>
      <c r="CJ14" s="804">
        <f t="shared" si="24"/>
        <v>0</v>
      </c>
      <c r="CK14" s="805">
        <f t="shared" si="25"/>
        <v>0</v>
      </c>
      <c r="CL14" s="27"/>
      <c r="CM14" s="24"/>
      <c r="CN14" s="24">
        <f t="shared" si="44"/>
        <v>0</v>
      </c>
      <c r="CO14" s="28">
        <f t="shared" si="45"/>
        <v>0</v>
      </c>
      <c r="CP14" s="18">
        <f t="shared" si="26"/>
        <v>0</v>
      </c>
      <c r="CQ14" s="17">
        <f t="shared" si="0"/>
        <v>0</v>
      </c>
      <c r="CR14" s="17">
        <f t="shared" si="0"/>
        <v>0</v>
      </c>
      <c r="CS14" s="1487">
        <f t="shared" si="0"/>
        <v>0</v>
      </c>
      <c r="CT14" s="306"/>
      <c r="CU14" s="37"/>
      <c r="CV14" s="37">
        <f t="shared" si="46"/>
        <v>0</v>
      </c>
      <c r="CW14" s="38">
        <f t="shared" si="47"/>
        <v>0</v>
      </c>
      <c r="CX14" s="17">
        <f t="shared" si="27"/>
        <v>0</v>
      </c>
      <c r="CY14" s="17">
        <f t="shared" si="1"/>
        <v>0</v>
      </c>
      <c r="CZ14" s="17">
        <f t="shared" si="1"/>
        <v>0</v>
      </c>
      <c r="DA14" s="1487">
        <f t="shared" si="1"/>
        <v>0</v>
      </c>
    </row>
    <row r="15" spans="1:105" ht="14.25">
      <c r="A15" s="1475" t="s">
        <v>152</v>
      </c>
      <c r="B15" s="17"/>
      <c r="C15" s="16"/>
      <c r="D15" s="16">
        <f t="shared" si="50"/>
        <v>0</v>
      </c>
      <c r="E15" s="19">
        <f t="shared" si="51"/>
        <v>0</v>
      </c>
      <c r="F15" s="46"/>
      <c r="G15" s="43"/>
      <c r="H15" s="24">
        <f t="shared" si="52"/>
        <v>0</v>
      </c>
      <c r="I15" s="28">
        <f t="shared" si="53"/>
        <v>0</v>
      </c>
      <c r="J15" s="46"/>
      <c r="K15" s="43"/>
      <c r="L15" s="24">
        <f t="shared" si="30"/>
        <v>0</v>
      </c>
      <c r="M15" s="28">
        <f t="shared" si="31"/>
        <v>0</v>
      </c>
      <c r="N15" s="46"/>
      <c r="O15" s="43"/>
      <c r="P15" s="804">
        <f t="shared" si="4"/>
        <v>0</v>
      </c>
      <c r="Q15" s="805">
        <f t="shared" si="5"/>
        <v>0</v>
      </c>
      <c r="R15" s="46"/>
      <c r="S15" s="43"/>
      <c r="T15" s="804">
        <f t="shared" si="6"/>
        <v>0</v>
      </c>
      <c r="U15" s="805">
        <f t="shared" si="7"/>
        <v>0</v>
      </c>
      <c r="V15" s="46"/>
      <c r="W15" s="43"/>
      <c r="X15" s="24">
        <f t="shared" si="32"/>
        <v>0</v>
      </c>
      <c r="Y15" s="28">
        <f t="shared" si="33"/>
        <v>0</v>
      </c>
      <c r="Z15" s="46"/>
      <c r="AA15" s="43"/>
      <c r="AB15" s="804">
        <f t="shared" si="8"/>
        <v>0</v>
      </c>
      <c r="AC15" s="805">
        <f t="shared" si="9"/>
        <v>0</v>
      </c>
      <c r="AD15" s="46"/>
      <c r="AE15" s="43"/>
      <c r="AF15" s="804">
        <f t="shared" si="10"/>
        <v>0</v>
      </c>
      <c r="AG15" s="805">
        <f t="shared" si="11"/>
        <v>0</v>
      </c>
      <c r="AH15" s="46"/>
      <c r="AI15" s="43"/>
      <c r="AJ15" s="24">
        <f t="shared" si="54"/>
        <v>0</v>
      </c>
      <c r="AK15" s="28">
        <f t="shared" si="55"/>
        <v>0</v>
      </c>
      <c r="AL15" s="46"/>
      <c r="AM15" s="43"/>
      <c r="AN15" s="24">
        <f t="shared" si="34"/>
        <v>0</v>
      </c>
      <c r="AO15" s="28">
        <f t="shared" si="35"/>
        <v>0</v>
      </c>
      <c r="AP15" s="46"/>
      <c r="AQ15" s="43"/>
      <c r="AR15" s="804">
        <f t="shared" si="12"/>
        <v>0</v>
      </c>
      <c r="AS15" s="805">
        <f t="shared" si="13"/>
        <v>0</v>
      </c>
      <c r="AT15" s="46"/>
      <c r="AU15" s="43"/>
      <c r="AV15" s="803">
        <f t="shared" si="14"/>
        <v>0</v>
      </c>
      <c r="AW15" s="1245">
        <f t="shared" si="15"/>
        <v>0</v>
      </c>
      <c r="AX15" s="29"/>
      <c r="AY15" s="30"/>
      <c r="AZ15" s="30">
        <f t="shared" si="36"/>
        <v>0</v>
      </c>
      <c r="BA15" s="31">
        <f t="shared" si="37"/>
        <v>0</v>
      </c>
      <c r="BB15" s="46"/>
      <c r="BC15" s="43"/>
      <c r="BD15" s="804">
        <f t="shared" si="16"/>
        <v>0</v>
      </c>
      <c r="BE15" s="805">
        <f t="shared" si="17"/>
        <v>0</v>
      </c>
      <c r="BF15" s="48"/>
      <c r="BG15" s="49"/>
      <c r="BH15" s="24">
        <f t="shared" si="38"/>
        <v>0</v>
      </c>
      <c r="BI15" s="28">
        <f t="shared" si="39"/>
        <v>0</v>
      </c>
      <c r="BJ15" s="46"/>
      <c r="BK15" s="43"/>
      <c r="BL15" s="804">
        <f t="shared" si="18"/>
        <v>0</v>
      </c>
      <c r="BM15" s="805">
        <f t="shared" si="19"/>
        <v>0</v>
      </c>
      <c r="BN15" s="46"/>
      <c r="BO15" s="43"/>
      <c r="BP15" s="43"/>
      <c r="BQ15" s="47"/>
      <c r="BR15" s="46"/>
      <c r="BS15" s="43"/>
      <c r="BT15" s="24">
        <f t="shared" si="40"/>
        <v>0</v>
      </c>
      <c r="BU15" s="28">
        <f t="shared" si="41"/>
        <v>0</v>
      </c>
      <c r="BV15" s="294"/>
      <c r="BW15" s="24"/>
      <c r="BX15" s="24"/>
      <c r="BY15" s="28"/>
      <c r="BZ15" s="399">
        <v>1130</v>
      </c>
      <c r="CA15" s="394">
        <v>750</v>
      </c>
      <c r="CB15" s="807">
        <f t="shared" si="22"/>
        <v>1130</v>
      </c>
      <c r="CC15" s="808">
        <f t="shared" si="23"/>
        <v>750</v>
      </c>
      <c r="CD15" s="33"/>
      <c r="CE15" s="34"/>
      <c r="CF15" s="34">
        <f t="shared" si="42"/>
        <v>0</v>
      </c>
      <c r="CG15" s="35">
        <f t="shared" si="43"/>
        <v>0</v>
      </c>
      <c r="CH15" s="36"/>
      <c r="CI15" s="37"/>
      <c r="CJ15" s="804">
        <f t="shared" si="24"/>
        <v>0</v>
      </c>
      <c r="CK15" s="805">
        <f t="shared" si="25"/>
        <v>0</v>
      </c>
      <c r="CL15" s="46"/>
      <c r="CM15" s="43"/>
      <c r="CN15" s="24">
        <f t="shared" si="44"/>
        <v>0</v>
      </c>
      <c r="CO15" s="28">
        <f t="shared" si="45"/>
        <v>0</v>
      </c>
      <c r="CP15" s="18">
        <f t="shared" si="26"/>
        <v>1130</v>
      </c>
      <c r="CQ15" s="17">
        <f t="shared" si="0"/>
        <v>750</v>
      </c>
      <c r="CR15" s="17">
        <f t="shared" si="0"/>
        <v>1130</v>
      </c>
      <c r="CS15" s="1487">
        <f t="shared" si="0"/>
        <v>750</v>
      </c>
      <c r="CT15" s="44"/>
      <c r="CU15" s="43"/>
      <c r="CV15" s="37">
        <f t="shared" si="46"/>
        <v>0</v>
      </c>
      <c r="CW15" s="38">
        <f t="shared" si="47"/>
        <v>0</v>
      </c>
      <c r="CX15" s="17">
        <f t="shared" si="27"/>
        <v>1130</v>
      </c>
      <c r="CY15" s="17">
        <f t="shared" si="1"/>
        <v>750</v>
      </c>
      <c r="CZ15" s="17">
        <f t="shared" si="1"/>
        <v>1130</v>
      </c>
      <c r="DA15" s="1487">
        <f t="shared" si="1"/>
        <v>750</v>
      </c>
    </row>
    <row r="16" spans="1:105" ht="28.5">
      <c r="A16" s="1475" t="s">
        <v>153</v>
      </c>
      <c r="B16" s="76"/>
      <c r="C16" s="15"/>
      <c r="D16" s="16">
        <f t="shared" si="50"/>
        <v>0</v>
      </c>
      <c r="E16" s="19">
        <f t="shared" si="51"/>
        <v>0</v>
      </c>
      <c r="F16" s="27"/>
      <c r="G16" s="24"/>
      <c r="H16" s="24">
        <f t="shared" si="52"/>
        <v>0</v>
      </c>
      <c r="I16" s="28">
        <f t="shared" si="53"/>
        <v>0</v>
      </c>
      <c r="J16" s="27"/>
      <c r="K16" s="24"/>
      <c r="L16" s="24">
        <f t="shared" si="30"/>
        <v>0</v>
      </c>
      <c r="M16" s="28">
        <f t="shared" si="31"/>
        <v>0</v>
      </c>
      <c r="N16" s="27"/>
      <c r="O16" s="24"/>
      <c r="P16" s="804">
        <f t="shared" si="4"/>
        <v>0</v>
      </c>
      <c r="Q16" s="805">
        <f t="shared" si="5"/>
        <v>0</v>
      </c>
      <c r="R16" s="27"/>
      <c r="S16" s="24"/>
      <c r="T16" s="804">
        <f t="shared" si="6"/>
        <v>0</v>
      </c>
      <c r="U16" s="805">
        <f t="shared" si="7"/>
        <v>0</v>
      </c>
      <c r="V16" s="27"/>
      <c r="W16" s="24"/>
      <c r="X16" s="24">
        <f t="shared" si="32"/>
        <v>0</v>
      </c>
      <c r="Y16" s="28">
        <f t="shared" si="33"/>
        <v>0</v>
      </c>
      <c r="Z16" s="27"/>
      <c r="AA16" s="24"/>
      <c r="AB16" s="804">
        <f t="shared" si="8"/>
        <v>0</v>
      </c>
      <c r="AC16" s="805">
        <f t="shared" si="9"/>
        <v>0</v>
      </c>
      <c r="AD16" s="27"/>
      <c r="AE16" s="24"/>
      <c r="AF16" s="804">
        <f t="shared" si="10"/>
        <v>0</v>
      </c>
      <c r="AG16" s="805">
        <f t="shared" si="11"/>
        <v>0</v>
      </c>
      <c r="AH16" s="27"/>
      <c r="AI16" s="24"/>
      <c r="AJ16" s="24">
        <f t="shared" si="54"/>
        <v>0</v>
      </c>
      <c r="AK16" s="28">
        <f t="shared" si="55"/>
        <v>0</v>
      </c>
      <c r="AL16" s="27"/>
      <c r="AM16" s="24"/>
      <c r="AN16" s="24">
        <f t="shared" si="34"/>
        <v>0</v>
      </c>
      <c r="AO16" s="28">
        <f t="shared" si="35"/>
        <v>0</v>
      </c>
      <c r="AP16" s="27"/>
      <c r="AQ16" s="24"/>
      <c r="AR16" s="804">
        <f t="shared" si="12"/>
        <v>0</v>
      </c>
      <c r="AS16" s="805">
        <f t="shared" si="13"/>
        <v>0</v>
      </c>
      <c r="AT16" s="27"/>
      <c r="AU16" s="24"/>
      <c r="AV16" s="803">
        <f t="shared" si="14"/>
        <v>0</v>
      </c>
      <c r="AW16" s="1245">
        <f t="shared" si="15"/>
        <v>0</v>
      </c>
      <c r="AX16" s="29"/>
      <c r="AY16" s="30"/>
      <c r="AZ16" s="30">
        <f t="shared" si="36"/>
        <v>0</v>
      </c>
      <c r="BA16" s="31">
        <f t="shared" si="37"/>
        <v>0</v>
      </c>
      <c r="BB16" s="27"/>
      <c r="BC16" s="24"/>
      <c r="BD16" s="804">
        <f t="shared" si="16"/>
        <v>0</v>
      </c>
      <c r="BE16" s="805">
        <f t="shared" si="17"/>
        <v>0</v>
      </c>
      <c r="BF16" s="27"/>
      <c r="BG16" s="24"/>
      <c r="BH16" s="24">
        <f t="shared" si="38"/>
        <v>0</v>
      </c>
      <c r="BI16" s="28">
        <f t="shared" si="39"/>
        <v>0</v>
      </c>
      <c r="BJ16" s="27"/>
      <c r="BK16" s="24"/>
      <c r="BL16" s="804">
        <f t="shared" si="18"/>
        <v>0</v>
      </c>
      <c r="BM16" s="805">
        <f t="shared" si="19"/>
        <v>0</v>
      </c>
      <c r="BN16" s="27"/>
      <c r="BO16" s="24"/>
      <c r="BP16" s="24"/>
      <c r="BQ16" s="28"/>
      <c r="BR16" s="27"/>
      <c r="BS16" s="24"/>
      <c r="BT16" s="24">
        <f t="shared" si="40"/>
        <v>0</v>
      </c>
      <c r="BU16" s="28">
        <f t="shared" si="41"/>
        <v>0</v>
      </c>
      <c r="BV16" s="294"/>
      <c r="BW16" s="24"/>
      <c r="BX16" s="24"/>
      <c r="BY16" s="28"/>
      <c r="BZ16" s="399">
        <v>78</v>
      </c>
      <c r="CA16" s="394">
        <v>471</v>
      </c>
      <c r="CB16" s="807">
        <f t="shared" si="22"/>
        <v>78</v>
      </c>
      <c r="CC16" s="808">
        <f t="shared" si="23"/>
        <v>471</v>
      </c>
      <c r="CD16" s="33"/>
      <c r="CE16" s="34"/>
      <c r="CF16" s="34">
        <f t="shared" si="42"/>
        <v>0</v>
      </c>
      <c r="CG16" s="35">
        <f t="shared" si="43"/>
        <v>0</v>
      </c>
      <c r="CH16" s="36"/>
      <c r="CI16" s="37"/>
      <c r="CJ16" s="804">
        <f t="shared" si="24"/>
        <v>0</v>
      </c>
      <c r="CK16" s="805">
        <f t="shared" si="25"/>
        <v>0</v>
      </c>
      <c r="CL16" s="27"/>
      <c r="CM16" s="24"/>
      <c r="CN16" s="24">
        <f t="shared" si="44"/>
        <v>0</v>
      </c>
      <c r="CO16" s="28">
        <f t="shared" si="45"/>
        <v>0</v>
      </c>
      <c r="CP16" s="18">
        <f t="shared" si="26"/>
        <v>78</v>
      </c>
      <c r="CQ16" s="17">
        <f t="shared" si="0"/>
        <v>471</v>
      </c>
      <c r="CR16" s="17">
        <f t="shared" si="0"/>
        <v>78</v>
      </c>
      <c r="CS16" s="1487">
        <f t="shared" si="0"/>
        <v>471</v>
      </c>
      <c r="CT16" s="25"/>
      <c r="CU16" s="24"/>
      <c r="CV16" s="37">
        <f t="shared" si="46"/>
        <v>0</v>
      </c>
      <c r="CW16" s="38">
        <f t="shared" si="47"/>
        <v>0</v>
      </c>
      <c r="CX16" s="17">
        <f t="shared" si="27"/>
        <v>78</v>
      </c>
      <c r="CY16" s="17">
        <f t="shared" si="1"/>
        <v>471</v>
      </c>
      <c r="CZ16" s="17">
        <f t="shared" si="1"/>
        <v>78</v>
      </c>
      <c r="DA16" s="1487">
        <f t="shared" si="1"/>
        <v>471</v>
      </c>
    </row>
    <row r="17" spans="1:105" ht="14.25">
      <c r="A17" s="1475" t="s">
        <v>154</v>
      </c>
      <c r="B17" s="76"/>
      <c r="C17" s="15"/>
      <c r="D17" s="16">
        <f t="shared" si="50"/>
        <v>0</v>
      </c>
      <c r="E17" s="19">
        <f t="shared" si="51"/>
        <v>0</v>
      </c>
      <c r="F17" s="27"/>
      <c r="G17" s="24"/>
      <c r="H17" s="24">
        <f t="shared" si="52"/>
        <v>0</v>
      </c>
      <c r="I17" s="28">
        <f t="shared" si="53"/>
        <v>0</v>
      </c>
      <c r="J17" s="27"/>
      <c r="K17" s="24"/>
      <c r="L17" s="24">
        <f t="shared" si="30"/>
        <v>0</v>
      </c>
      <c r="M17" s="28">
        <f t="shared" si="31"/>
        <v>0</v>
      </c>
      <c r="N17" s="27"/>
      <c r="O17" s="24"/>
      <c r="P17" s="804">
        <f t="shared" si="4"/>
        <v>0</v>
      </c>
      <c r="Q17" s="805">
        <f t="shared" si="5"/>
        <v>0</v>
      </c>
      <c r="R17" s="27"/>
      <c r="S17" s="24"/>
      <c r="T17" s="804">
        <f t="shared" si="6"/>
        <v>0</v>
      </c>
      <c r="U17" s="805">
        <f t="shared" si="7"/>
        <v>0</v>
      </c>
      <c r="V17" s="27"/>
      <c r="W17" s="24"/>
      <c r="X17" s="24">
        <f t="shared" si="32"/>
        <v>0</v>
      </c>
      <c r="Y17" s="28">
        <f t="shared" si="33"/>
        <v>0</v>
      </c>
      <c r="Z17" s="27"/>
      <c r="AA17" s="24"/>
      <c r="AB17" s="804">
        <f t="shared" si="8"/>
        <v>0</v>
      </c>
      <c r="AC17" s="805">
        <f t="shared" si="9"/>
        <v>0</v>
      </c>
      <c r="AD17" s="27"/>
      <c r="AE17" s="24"/>
      <c r="AF17" s="804">
        <f t="shared" si="10"/>
        <v>0</v>
      </c>
      <c r="AG17" s="805">
        <f t="shared" si="11"/>
        <v>0</v>
      </c>
      <c r="AH17" s="27"/>
      <c r="AI17" s="24"/>
      <c r="AJ17" s="24">
        <f t="shared" si="54"/>
        <v>0</v>
      </c>
      <c r="AK17" s="28">
        <f t="shared" si="55"/>
        <v>0</v>
      </c>
      <c r="AL17" s="27"/>
      <c r="AM17" s="24"/>
      <c r="AN17" s="24">
        <f t="shared" si="34"/>
        <v>0</v>
      </c>
      <c r="AO17" s="28">
        <f t="shared" si="35"/>
        <v>0</v>
      </c>
      <c r="AP17" s="27"/>
      <c r="AQ17" s="24"/>
      <c r="AR17" s="804">
        <f t="shared" si="12"/>
        <v>0</v>
      </c>
      <c r="AS17" s="805">
        <f t="shared" si="13"/>
        <v>0</v>
      </c>
      <c r="AT17" s="27"/>
      <c r="AU17" s="24"/>
      <c r="AV17" s="803">
        <f t="shared" si="14"/>
        <v>0</v>
      </c>
      <c r="AW17" s="1245">
        <f t="shared" si="15"/>
        <v>0</v>
      </c>
      <c r="AX17" s="29"/>
      <c r="AY17" s="30"/>
      <c r="AZ17" s="30">
        <f t="shared" si="36"/>
        <v>0</v>
      </c>
      <c r="BA17" s="31">
        <f t="shared" si="37"/>
        <v>0</v>
      </c>
      <c r="BB17" s="27"/>
      <c r="BC17" s="24"/>
      <c r="BD17" s="804">
        <f t="shared" si="16"/>
        <v>0</v>
      </c>
      <c r="BE17" s="805">
        <f t="shared" si="17"/>
        <v>0</v>
      </c>
      <c r="BF17" s="27"/>
      <c r="BG17" s="24"/>
      <c r="BH17" s="24">
        <f t="shared" si="38"/>
        <v>0</v>
      </c>
      <c r="BI17" s="28">
        <f t="shared" si="39"/>
        <v>0</v>
      </c>
      <c r="BJ17" s="27"/>
      <c r="BK17" s="24"/>
      <c r="BL17" s="804">
        <f t="shared" si="18"/>
        <v>0</v>
      </c>
      <c r="BM17" s="805">
        <f t="shared" si="19"/>
        <v>0</v>
      </c>
      <c r="BN17" s="27"/>
      <c r="BO17" s="24"/>
      <c r="BP17" s="24"/>
      <c r="BQ17" s="28"/>
      <c r="BR17" s="27"/>
      <c r="BS17" s="24"/>
      <c r="BT17" s="24">
        <f t="shared" si="40"/>
        <v>0</v>
      </c>
      <c r="BU17" s="28">
        <f t="shared" si="41"/>
        <v>0</v>
      </c>
      <c r="BV17" s="294"/>
      <c r="BW17" s="24"/>
      <c r="BX17" s="24"/>
      <c r="BY17" s="28"/>
      <c r="BZ17" s="399">
        <v>1133</v>
      </c>
      <c r="CA17" s="394">
        <v>755</v>
      </c>
      <c r="CB17" s="807">
        <f t="shared" si="22"/>
        <v>1133</v>
      </c>
      <c r="CC17" s="808">
        <f t="shared" si="23"/>
        <v>755</v>
      </c>
      <c r="CD17" s="33"/>
      <c r="CE17" s="34"/>
      <c r="CF17" s="34">
        <f t="shared" si="42"/>
        <v>0</v>
      </c>
      <c r="CG17" s="35">
        <f t="shared" si="43"/>
        <v>0</v>
      </c>
      <c r="CH17" s="36"/>
      <c r="CI17" s="37"/>
      <c r="CJ17" s="804">
        <f t="shared" si="24"/>
        <v>0</v>
      </c>
      <c r="CK17" s="805">
        <f t="shared" si="25"/>
        <v>0</v>
      </c>
      <c r="CL17" s="27"/>
      <c r="CM17" s="24"/>
      <c r="CN17" s="24">
        <f t="shared" si="44"/>
        <v>0</v>
      </c>
      <c r="CO17" s="28">
        <f t="shared" si="45"/>
        <v>0</v>
      </c>
      <c r="CP17" s="18">
        <f t="shared" si="26"/>
        <v>1133</v>
      </c>
      <c r="CQ17" s="17">
        <f t="shared" si="0"/>
        <v>755</v>
      </c>
      <c r="CR17" s="17">
        <f t="shared" si="0"/>
        <v>1133</v>
      </c>
      <c r="CS17" s="1487">
        <f t="shared" si="0"/>
        <v>755</v>
      </c>
      <c r="CT17" s="25"/>
      <c r="CU17" s="24"/>
      <c r="CV17" s="37">
        <f t="shared" si="46"/>
        <v>0</v>
      </c>
      <c r="CW17" s="38">
        <f t="shared" si="47"/>
        <v>0</v>
      </c>
      <c r="CX17" s="17">
        <f t="shared" si="27"/>
        <v>1133</v>
      </c>
      <c r="CY17" s="17">
        <f t="shared" si="1"/>
        <v>755</v>
      </c>
      <c r="CZ17" s="17">
        <f t="shared" si="1"/>
        <v>1133</v>
      </c>
      <c r="DA17" s="1487">
        <f t="shared" si="1"/>
        <v>755</v>
      </c>
    </row>
    <row r="18" spans="1:105" ht="14.25">
      <c r="A18" s="1475" t="s">
        <v>155</v>
      </c>
      <c r="B18" s="76"/>
      <c r="C18" s="15"/>
      <c r="D18" s="16">
        <f t="shared" si="50"/>
        <v>0</v>
      </c>
      <c r="E18" s="19">
        <f t="shared" si="51"/>
        <v>0</v>
      </c>
      <c r="F18" s="27"/>
      <c r="G18" s="24"/>
      <c r="H18" s="24">
        <f t="shared" si="52"/>
        <v>0</v>
      </c>
      <c r="I18" s="28">
        <f t="shared" si="53"/>
        <v>0</v>
      </c>
      <c r="J18" s="27"/>
      <c r="K18" s="24"/>
      <c r="L18" s="24">
        <f t="shared" si="30"/>
        <v>0</v>
      </c>
      <c r="M18" s="28">
        <f t="shared" si="31"/>
        <v>0</v>
      </c>
      <c r="N18" s="27"/>
      <c r="O18" s="24"/>
      <c r="P18" s="804">
        <f t="shared" si="4"/>
        <v>0</v>
      </c>
      <c r="Q18" s="805">
        <f t="shared" si="5"/>
        <v>0</v>
      </c>
      <c r="R18" s="27"/>
      <c r="S18" s="24"/>
      <c r="T18" s="804">
        <f t="shared" si="6"/>
        <v>0</v>
      </c>
      <c r="U18" s="805">
        <f t="shared" si="7"/>
        <v>0</v>
      </c>
      <c r="V18" s="27"/>
      <c r="W18" s="24"/>
      <c r="X18" s="24">
        <f t="shared" si="32"/>
        <v>0</v>
      </c>
      <c r="Y18" s="28">
        <f t="shared" si="33"/>
        <v>0</v>
      </c>
      <c r="Z18" s="27">
        <v>213790</v>
      </c>
      <c r="AA18" s="24">
        <v>884752</v>
      </c>
      <c r="AB18" s="804">
        <f t="shared" si="8"/>
        <v>213790</v>
      </c>
      <c r="AC18" s="805">
        <f t="shared" si="9"/>
        <v>884752</v>
      </c>
      <c r="AD18" s="27"/>
      <c r="AE18" s="24"/>
      <c r="AF18" s="804">
        <f t="shared" si="10"/>
        <v>0</v>
      </c>
      <c r="AG18" s="805">
        <f t="shared" si="11"/>
        <v>0</v>
      </c>
      <c r="AH18" s="27"/>
      <c r="AI18" s="24"/>
      <c r="AJ18" s="24">
        <f t="shared" si="54"/>
        <v>0</v>
      </c>
      <c r="AK18" s="28">
        <f t="shared" si="55"/>
        <v>0</v>
      </c>
      <c r="AL18" s="27"/>
      <c r="AM18" s="24"/>
      <c r="AN18" s="24">
        <f t="shared" si="34"/>
        <v>0</v>
      </c>
      <c r="AO18" s="28">
        <f t="shared" si="35"/>
        <v>0</v>
      </c>
      <c r="AP18" s="27"/>
      <c r="AQ18" s="24"/>
      <c r="AR18" s="804">
        <f t="shared" si="12"/>
        <v>0</v>
      </c>
      <c r="AS18" s="805">
        <f t="shared" si="13"/>
        <v>0</v>
      </c>
      <c r="AT18" s="27"/>
      <c r="AU18" s="24"/>
      <c r="AV18" s="803">
        <f t="shared" si="14"/>
        <v>0</v>
      </c>
      <c r="AW18" s="1245">
        <f t="shared" si="15"/>
        <v>0</v>
      </c>
      <c r="AX18" s="29"/>
      <c r="AY18" s="30"/>
      <c r="AZ18" s="30">
        <f t="shared" si="36"/>
        <v>0</v>
      </c>
      <c r="BA18" s="31">
        <f t="shared" si="37"/>
        <v>0</v>
      </c>
      <c r="BB18" s="27"/>
      <c r="BC18" s="24"/>
      <c r="BD18" s="804">
        <f t="shared" si="16"/>
        <v>0</v>
      </c>
      <c r="BE18" s="805">
        <f t="shared" si="17"/>
        <v>0</v>
      </c>
      <c r="BF18" s="27"/>
      <c r="BG18" s="24"/>
      <c r="BH18" s="24">
        <f t="shared" si="38"/>
        <v>0</v>
      </c>
      <c r="BI18" s="28">
        <f t="shared" si="39"/>
        <v>0</v>
      </c>
      <c r="BJ18" s="27"/>
      <c r="BK18" s="24"/>
      <c r="BL18" s="804">
        <f t="shared" si="18"/>
        <v>0</v>
      </c>
      <c r="BM18" s="805">
        <f t="shared" si="19"/>
        <v>0</v>
      </c>
      <c r="BN18" s="27"/>
      <c r="BO18" s="24"/>
      <c r="BP18" s="24"/>
      <c r="BQ18" s="28"/>
      <c r="BR18" s="27"/>
      <c r="BS18" s="24"/>
      <c r="BT18" s="24">
        <f t="shared" si="40"/>
        <v>0</v>
      </c>
      <c r="BU18" s="28">
        <f t="shared" si="41"/>
        <v>0</v>
      </c>
      <c r="BV18" s="294"/>
      <c r="BW18" s="24"/>
      <c r="BX18" s="24"/>
      <c r="BY18" s="28"/>
      <c r="BZ18" s="399">
        <v>28173</v>
      </c>
      <c r="CA18" s="394">
        <v>20401</v>
      </c>
      <c r="CB18" s="807">
        <f t="shared" si="22"/>
        <v>28173</v>
      </c>
      <c r="CC18" s="808">
        <f t="shared" si="23"/>
        <v>20401</v>
      </c>
      <c r="CD18" s="33"/>
      <c r="CE18" s="34"/>
      <c r="CF18" s="34">
        <f t="shared" si="42"/>
        <v>0</v>
      </c>
      <c r="CG18" s="35">
        <f t="shared" si="43"/>
        <v>0</v>
      </c>
      <c r="CH18" s="36"/>
      <c r="CI18" s="37"/>
      <c r="CJ18" s="804">
        <f t="shared" si="24"/>
        <v>0</v>
      </c>
      <c r="CK18" s="805">
        <f t="shared" si="25"/>
        <v>0</v>
      </c>
      <c r="CL18" s="27"/>
      <c r="CM18" s="24"/>
      <c r="CN18" s="24">
        <f t="shared" si="44"/>
        <v>0</v>
      </c>
      <c r="CO18" s="28">
        <f t="shared" si="45"/>
        <v>0</v>
      </c>
      <c r="CP18" s="18">
        <f t="shared" si="26"/>
        <v>241963</v>
      </c>
      <c r="CQ18" s="17">
        <f t="shared" si="0"/>
        <v>905153</v>
      </c>
      <c r="CR18" s="17">
        <f t="shared" si="0"/>
        <v>241963</v>
      </c>
      <c r="CS18" s="1487">
        <f t="shared" si="0"/>
        <v>905153</v>
      </c>
      <c r="CT18" s="25"/>
      <c r="CU18" s="24"/>
      <c r="CV18" s="37">
        <f t="shared" si="46"/>
        <v>0</v>
      </c>
      <c r="CW18" s="38">
        <f t="shared" si="47"/>
        <v>0</v>
      </c>
      <c r="CX18" s="17">
        <f t="shared" si="27"/>
        <v>241963</v>
      </c>
      <c r="CY18" s="17">
        <f t="shared" si="1"/>
        <v>905153</v>
      </c>
      <c r="CZ18" s="17">
        <f t="shared" si="1"/>
        <v>241963</v>
      </c>
      <c r="DA18" s="1487">
        <f t="shared" si="1"/>
        <v>905153</v>
      </c>
    </row>
    <row r="19" spans="1:105" ht="28.5">
      <c r="A19" s="1475" t="s">
        <v>156</v>
      </c>
      <c r="B19" s="76">
        <v>6921</v>
      </c>
      <c r="C19" s="15">
        <v>7196</v>
      </c>
      <c r="D19" s="16">
        <f t="shared" si="50"/>
        <v>6921</v>
      </c>
      <c r="E19" s="19">
        <f t="shared" si="51"/>
        <v>7196</v>
      </c>
      <c r="F19" s="27"/>
      <c r="G19" s="24"/>
      <c r="H19" s="24">
        <f t="shared" si="52"/>
        <v>0</v>
      </c>
      <c r="I19" s="28">
        <f t="shared" si="53"/>
        <v>0</v>
      </c>
      <c r="J19" s="27"/>
      <c r="K19" s="24"/>
      <c r="L19" s="24">
        <f t="shared" si="30"/>
        <v>0</v>
      </c>
      <c r="M19" s="28">
        <f t="shared" si="31"/>
        <v>0</v>
      </c>
      <c r="N19" s="27"/>
      <c r="O19" s="24"/>
      <c r="P19" s="804">
        <f t="shared" si="4"/>
        <v>0</v>
      </c>
      <c r="Q19" s="805">
        <f t="shared" si="5"/>
        <v>0</v>
      </c>
      <c r="R19" s="27"/>
      <c r="S19" s="24"/>
      <c r="T19" s="804">
        <f t="shared" si="6"/>
        <v>0</v>
      </c>
      <c r="U19" s="805">
        <f t="shared" si="7"/>
        <v>0</v>
      </c>
      <c r="V19" s="27"/>
      <c r="W19" s="24"/>
      <c r="X19" s="24">
        <f t="shared" si="32"/>
        <v>0</v>
      </c>
      <c r="Y19" s="28">
        <f t="shared" si="33"/>
        <v>0</v>
      </c>
      <c r="Z19" s="27"/>
      <c r="AA19" s="24"/>
      <c r="AB19" s="804">
        <f t="shared" si="8"/>
        <v>0</v>
      </c>
      <c r="AC19" s="805">
        <f t="shared" si="9"/>
        <v>0</v>
      </c>
      <c r="AD19" s="27"/>
      <c r="AE19" s="24"/>
      <c r="AF19" s="804">
        <f t="shared" si="10"/>
        <v>0</v>
      </c>
      <c r="AG19" s="805">
        <f t="shared" si="11"/>
        <v>0</v>
      </c>
      <c r="AH19" s="27"/>
      <c r="AI19" s="24"/>
      <c r="AJ19" s="24">
        <f t="shared" si="54"/>
        <v>0</v>
      </c>
      <c r="AK19" s="28">
        <f t="shared" si="55"/>
        <v>0</v>
      </c>
      <c r="AL19" s="27"/>
      <c r="AM19" s="24"/>
      <c r="AN19" s="24">
        <f t="shared" si="34"/>
        <v>0</v>
      </c>
      <c r="AO19" s="28">
        <f t="shared" si="35"/>
        <v>0</v>
      </c>
      <c r="AP19" s="27"/>
      <c r="AQ19" s="24"/>
      <c r="AR19" s="804">
        <f t="shared" si="12"/>
        <v>0</v>
      </c>
      <c r="AS19" s="805">
        <f t="shared" si="13"/>
        <v>0</v>
      </c>
      <c r="AT19" s="27"/>
      <c r="AU19" s="24"/>
      <c r="AV19" s="803">
        <f t="shared" si="14"/>
        <v>0</v>
      </c>
      <c r="AW19" s="1245">
        <f t="shared" si="15"/>
        <v>0</v>
      </c>
      <c r="AX19" s="29"/>
      <c r="AY19" s="30"/>
      <c r="AZ19" s="30">
        <f t="shared" si="36"/>
        <v>0</v>
      </c>
      <c r="BA19" s="31">
        <f t="shared" si="37"/>
        <v>0</v>
      </c>
      <c r="BB19" s="27"/>
      <c r="BC19" s="24"/>
      <c r="BD19" s="804">
        <f t="shared" si="16"/>
        <v>0</v>
      </c>
      <c r="BE19" s="805">
        <f t="shared" si="17"/>
        <v>0</v>
      </c>
      <c r="BF19" s="27"/>
      <c r="BG19" s="24"/>
      <c r="BH19" s="24">
        <f t="shared" si="38"/>
        <v>0</v>
      </c>
      <c r="BI19" s="28">
        <f t="shared" si="39"/>
        <v>0</v>
      </c>
      <c r="BJ19" s="27">
        <v>33601</v>
      </c>
      <c r="BK19" s="24">
        <v>31575</v>
      </c>
      <c r="BL19" s="804">
        <f t="shared" si="18"/>
        <v>33601</v>
      </c>
      <c r="BM19" s="805">
        <f t="shared" si="19"/>
        <v>31575</v>
      </c>
      <c r="BN19" s="27"/>
      <c r="BO19" s="24"/>
      <c r="BP19" s="24"/>
      <c r="BQ19" s="28"/>
      <c r="BR19" s="27"/>
      <c r="BS19" s="24"/>
      <c r="BT19" s="24">
        <f t="shared" si="40"/>
        <v>0</v>
      </c>
      <c r="BU19" s="28">
        <f t="shared" si="41"/>
        <v>0</v>
      </c>
      <c r="BV19" s="294"/>
      <c r="BW19" s="24"/>
      <c r="BX19" s="24"/>
      <c r="BY19" s="28"/>
      <c r="BZ19" s="399">
        <v>55077</v>
      </c>
      <c r="CA19" s="394">
        <v>55444</v>
      </c>
      <c r="CB19" s="807">
        <f t="shared" si="22"/>
        <v>55077</v>
      </c>
      <c r="CC19" s="808">
        <f t="shared" si="23"/>
        <v>55444</v>
      </c>
      <c r="CD19" s="33"/>
      <c r="CE19" s="34"/>
      <c r="CF19" s="34">
        <f t="shared" si="42"/>
        <v>0</v>
      </c>
      <c r="CG19" s="35">
        <f t="shared" si="43"/>
        <v>0</v>
      </c>
      <c r="CH19" s="36">
        <v>3800</v>
      </c>
      <c r="CI19" s="37">
        <v>5250</v>
      </c>
      <c r="CJ19" s="804">
        <f t="shared" si="24"/>
        <v>3800</v>
      </c>
      <c r="CK19" s="805">
        <f t="shared" si="25"/>
        <v>5250</v>
      </c>
      <c r="CL19" s="27">
        <v>181</v>
      </c>
      <c r="CM19" s="24">
        <v>352</v>
      </c>
      <c r="CN19" s="24">
        <f t="shared" si="44"/>
        <v>181</v>
      </c>
      <c r="CO19" s="28">
        <f t="shared" si="45"/>
        <v>352</v>
      </c>
      <c r="CP19" s="18">
        <f t="shared" si="26"/>
        <v>99580</v>
      </c>
      <c r="CQ19" s="17">
        <f t="shared" si="0"/>
        <v>99817</v>
      </c>
      <c r="CR19" s="17">
        <f t="shared" si="0"/>
        <v>99580</v>
      </c>
      <c r="CS19" s="1487">
        <f t="shared" si="0"/>
        <v>99817</v>
      </c>
      <c r="CT19" s="25"/>
      <c r="CU19" s="24"/>
      <c r="CV19" s="37">
        <f t="shared" si="46"/>
        <v>0</v>
      </c>
      <c r="CW19" s="38">
        <f t="shared" si="47"/>
        <v>0</v>
      </c>
      <c r="CX19" s="17">
        <f t="shared" si="27"/>
        <v>99580</v>
      </c>
      <c r="CY19" s="17">
        <f t="shared" si="1"/>
        <v>99817</v>
      </c>
      <c r="CZ19" s="17">
        <f t="shared" si="1"/>
        <v>99580</v>
      </c>
      <c r="DA19" s="1487">
        <f t="shared" si="1"/>
        <v>99817</v>
      </c>
    </row>
    <row r="20" spans="1:105" ht="14.25">
      <c r="A20" s="1475" t="s">
        <v>157</v>
      </c>
      <c r="B20" s="17"/>
      <c r="C20" s="16"/>
      <c r="D20" s="16">
        <f t="shared" si="50"/>
        <v>0</v>
      </c>
      <c r="E20" s="19">
        <f t="shared" si="51"/>
        <v>0</v>
      </c>
      <c r="F20" s="46"/>
      <c r="G20" s="43"/>
      <c r="H20" s="24">
        <f t="shared" si="52"/>
        <v>0</v>
      </c>
      <c r="I20" s="28">
        <f t="shared" si="53"/>
        <v>0</v>
      </c>
      <c r="J20" s="46"/>
      <c r="K20" s="43"/>
      <c r="L20" s="24">
        <f t="shared" si="30"/>
        <v>0</v>
      </c>
      <c r="M20" s="28">
        <f t="shared" si="31"/>
        <v>0</v>
      </c>
      <c r="N20" s="46"/>
      <c r="O20" s="43"/>
      <c r="P20" s="804">
        <f t="shared" si="4"/>
        <v>0</v>
      </c>
      <c r="Q20" s="805">
        <f t="shared" si="5"/>
        <v>0</v>
      </c>
      <c r="R20" s="46"/>
      <c r="S20" s="43"/>
      <c r="T20" s="804">
        <f t="shared" si="6"/>
        <v>0</v>
      </c>
      <c r="U20" s="805">
        <f t="shared" si="7"/>
        <v>0</v>
      </c>
      <c r="V20" s="46"/>
      <c r="W20" s="43"/>
      <c r="X20" s="24">
        <f t="shared" si="32"/>
        <v>0</v>
      </c>
      <c r="Y20" s="28">
        <f t="shared" si="33"/>
        <v>0</v>
      </c>
      <c r="Z20" s="46"/>
      <c r="AA20" s="43"/>
      <c r="AB20" s="804">
        <f t="shared" si="8"/>
        <v>0</v>
      </c>
      <c r="AC20" s="805">
        <f t="shared" si="9"/>
        <v>0</v>
      </c>
      <c r="AD20" s="46"/>
      <c r="AE20" s="43"/>
      <c r="AF20" s="804">
        <f t="shared" si="10"/>
        <v>0</v>
      </c>
      <c r="AG20" s="805">
        <f t="shared" si="11"/>
        <v>0</v>
      </c>
      <c r="AH20" s="46"/>
      <c r="AI20" s="43"/>
      <c r="AJ20" s="24">
        <f t="shared" si="54"/>
        <v>0</v>
      </c>
      <c r="AK20" s="28">
        <f t="shared" si="55"/>
        <v>0</v>
      </c>
      <c r="AL20" s="46"/>
      <c r="AM20" s="43"/>
      <c r="AN20" s="24">
        <f t="shared" si="34"/>
        <v>0</v>
      </c>
      <c r="AO20" s="28">
        <f t="shared" si="35"/>
        <v>0</v>
      </c>
      <c r="AP20" s="46"/>
      <c r="AQ20" s="43"/>
      <c r="AR20" s="804">
        <f t="shared" si="12"/>
        <v>0</v>
      </c>
      <c r="AS20" s="805">
        <f t="shared" si="13"/>
        <v>0</v>
      </c>
      <c r="AT20" s="46"/>
      <c r="AU20" s="43"/>
      <c r="AV20" s="803">
        <f t="shared" si="14"/>
        <v>0</v>
      </c>
      <c r="AW20" s="1245">
        <f t="shared" si="15"/>
        <v>0</v>
      </c>
      <c r="AX20" s="29"/>
      <c r="AY20" s="30"/>
      <c r="AZ20" s="30">
        <f t="shared" si="36"/>
        <v>0</v>
      </c>
      <c r="BA20" s="31">
        <f t="shared" si="37"/>
        <v>0</v>
      </c>
      <c r="BB20" s="46"/>
      <c r="BC20" s="43"/>
      <c r="BD20" s="804">
        <f t="shared" si="16"/>
        <v>0</v>
      </c>
      <c r="BE20" s="805">
        <f t="shared" si="17"/>
        <v>0</v>
      </c>
      <c r="BF20" s="48"/>
      <c r="BG20" s="49"/>
      <c r="BH20" s="24">
        <f t="shared" si="38"/>
        <v>0</v>
      </c>
      <c r="BI20" s="28">
        <f t="shared" si="39"/>
        <v>0</v>
      </c>
      <c r="BJ20" s="46"/>
      <c r="BK20" s="43"/>
      <c r="BL20" s="804">
        <f t="shared" si="18"/>
        <v>0</v>
      </c>
      <c r="BM20" s="805">
        <f t="shared" si="19"/>
        <v>0</v>
      </c>
      <c r="BN20" s="46"/>
      <c r="BO20" s="43"/>
      <c r="BP20" s="43"/>
      <c r="BQ20" s="47"/>
      <c r="BR20" s="46"/>
      <c r="BS20" s="43"/>
      <c r="BT20" s="24">
        <f t="shared" si="40"/>
        <v>0</v>
      </c>
      <c r="BU20" s="28">
        <f t="shared" si="41"/>
        <v>0</v>
      </c>
      <c r="BV20" s="294"/>
      <c r="BW20" s="24"/>
      <c r="BX20" s="24"/>
      <c r="BY20" s="28"/>
      <c r="BZ20" s="400"/>
      <c r="CA20" s="395"/>
      <c r="CB20" s="807">
        <f t="shared" si="22"/>
        <v>0</v>
      </c>
      <c r="CC20" s="808">
        <f t="shared" si="23"/>
        <v>0</v>
      </c>
      <c r="CD20" s="33"/>
      <c r="CE20" s="34"/>
      <c r="CF20" s="34">
        <f t="shared" si="42"/>
        <v>0</v>
      </c>
      <c r="CG20" s="35">
        <f t="shared" si="43"/>
        <v>0</v>
      </c>
      <c r="CH20" s="36"/>
      <c r="CI20" s="37"/>
      <c r="CJ20" s="804">
        <f t="shared" si="24"/>
        <v>0</v>
      </c>
      <c r="CK20" s="805">
        <f t="shared" si="25"/>
        <v>0</v>
      </c>
      <c r="CL20" s="46"/>
      <c r="CM20" s="43">
        <v>-7</v>
      </c>
      <c r="CN20" s="24">
        <f t="shared" si="44"/>
        <v>0</v>
      </c>
      <c r="CO20" s="28">
        <f t="shared" si="45"/>
        <v>-7</v>
      </c>
      <c r="CP20" s="18">
        <f t="shared" si="26"/>
        <v>0</v>
      </c>
      <c r="CQ20" s="17">
        <f t="shared" si="0"/>
        <v>-7</v>
      </c>
      <c r="CR20" s="17">
        <f t="shared" si="0"/>
        <v>0</v>
      </c>
      <c r="CS20" s="1487">
        <f t="shared" si="0"/>
        <v>-7</v>
      </c>
      <c r="CT20" s="44"/>
      <c r="CU20" s="43"/>
      <c r="CV20" s="37">
        <f t="shared" si="46"/>
        <v>0</v>
      </c>
      <c r="CW20" s="38">
        <f t="shared" si="47"/>
        <v>0</v>
      </c>
      <c r="CX20" s="17">
        <f t="shared" si="27"/>
        <v>0</v>
      </c>
      <c r="CY20" s="17">
        <f t="shared" si="1"/>
        <v>-7</v>
      </c>
      <c r="CZ20" s="17">
        <f t="shared" si="1"/>
        <v>0</v>
      </c>
      <c r="DA20" s="1487">
        <f t="shared" si="1"/>
        <v>-7</v>
      </c>
    </row>
    <row r="21" spans="1:105" ht="28.5">
      <c r="A21" s="1475" t="s">
        <v>158</v>
      </c>
      <c r="B21" s="76">
        <v>643403</v>
      </c>
      <c r="C21" s="15">
        <v>673674</v>
      </c>
      <c r="D21" s="16">
        <f t="shared" si="50"/>
        <v>643403</v>
      </c>
      <c r="E21" s="19">
        <f t="shared" si="51"/>
        <v>673674</v>
      </c>
      <c r="F21" s="27">
        <v>489</v>
      </c>
      <c r="G21" s="24"/>
      <c r="H21" s="24">
        <f t="shared" si="52"/>
        <v>489</v>
      </c>
      <c r="I21" s="28">
        <f t="shared" si="53"/>
        <v>0</v>
      </c>
      <c r="J21" s="27">
        <v>104935</v>
      </c>
      <c r="K21" s="24">
        <v>136382</v>
      </c>
      <c r="L21" s="24">
        <f t="shared" si="30"/>
        <v>104935</v>
      </c>
      <c r="M21" s="28">
        <f t="shared" si="31"/>
        <v>136382</v>
      </c>
      <c r="N21" s="27">
        <v>352830</v>
      </c>
      <c r="O21" s="24">
        <v>102629</v>
      </c>
      <c r="P21" s="804">
        <f t="shared" si="4"/>
        <v>352830</v>
      </c>
      <c r="Q21" s="805">
        <f t="shared" si="5"/>
        <v>102629</v>
      </c>
      <c r="R21" s="27"/>
      <c r="S21" s="24"/>
      <c r="T21" s="804">
        <f t="shared" si="6"/>
        <v>0</v>
      </c>
      <c r="U21" s="805">
        <f t="shared" si="7"/>
        <v>0</v>
      </c>
      <c r="V21" s="27">
        <f>1027+5048</f>
        <v>6075</v>
      </c>
      <c r="W21" s="410">
        <f>3345+1238+70</f>
        <v>4653</v>
      </c>
      <c r="X21" s="24">
        <f t="shared" si="32"/>
        <v>6075</v>
      </c>
      <c r="Y21" s="28">
        <f t="shared" si="33"/>
        <v>4653</v>
      </c>
      <c r="Z21" s="410">
        <v>52068</v>
      </c>
      <c r="AA21" s="410">
        <v>28813</v>
      </c>
      <c r="AB21" s="804">
        <f t="shared" si="8"/>
        <v>52068</v>
      </c>
      <c r="AC21" s="805">
        <f t="shared" si="9"/>
        <v>28813</v>
      </c>
      <c r="AD21" s="27">
        <v>145350</v>
      </c>
      <c r="AE21" s="24">
        <v>251725</v>
      </c>
      <c r="AF21" s="804">
        <f t="shared" si="10"/>
        <v>145350</v>
      </c>
      <c r="AG21" s="805">
        <f t="shared" si="11"/>
        <v>251725</v>
      </c>
      <c r="AH21" s="27">
        <v>785478</v>
      </c>
      <c r="AI21" s="24">
        <v>428451</v>
      </c>
      <c r="AJ21" s="24">
        <f t="shared" si="54"/>
        <v>785478</v>
      </c>
      <c r="AK21" s="28">
        <f t="shared" si="55"/>
        <v>428451</v>
      </c>
      <c r="AL21" s="27">
        <v>602937</v>
      </c>
      <c r="AM21" s="24">
        <v>614653</v>
      </c>
      <c r="AN21" s="24">
        <f t="shared" si="34"/>
        <v>602937</v>
      </c>
      <c r="AO21" s="28">
        <f t="shared" si="35"/>
        <v>614653</v>
      </c>
      <c r="AP21" s="27"/>
      <c r="AQ21" s="24">
        <v>135229</v>
      </c>
      <c r="AR21" s="804">
        <f t="shared" si="12"/>
        <v>0</v>
      </c>
      <c r="AS21" s="805">
        <f t="shared" si="13"/>
        <v>135229</v>
      </c>
      <c r="AT21" s="27">
        <v>2159230</v>
      </c>
      <c r="AU21" s="24">
        <v>924963</v>
      </c>
      <c r="AV21" s="803">
        <f t="shared" si="14"/>
        <v>2159230</v>
      </c>
      <c r="AW21" s="1245">
        <f t="shared" si="15"/>
        <v>924963</v>
      </c>
      <c r="AX21" s="29"/>
      <c r="AY21" s="30"/>
      <c r="AZ21" s="30">
        <f t="shared" si="36"/>
        <v>0</v>
      </c>
      <c r="BA21" s="31">
        <f t="shared" si="37"/>
        <v>0</v>
      </c>
      <c r="BB21" s="27">
        <v>278711</v>
      </c>
      <c r="BC21" s="24">
        <v>226306</v>
      </c>
      <c r="BD21" s="804">
        <f t="shared" si="16"/>
        <v>278711</v>
      </c>
      <c r="BE21" s="805">
        <f t="shared" si="17"/>
        <v>226306</v>
      </c>
      <c r="BF21" s="27">
        <v>30305</v>
      </c>
      <c r="BG21" s="24">
        <v>4974</v>
      </c>
      <c r="BH21" s="24">
        <f t="shared" si="38"/>
        <v>30305</v>
      </c>
      <c r="BI21" s="28">
        <f t="shared" si="39"/>
        <v>4974</v>
      </c>
      <c r="BJ21" s="27">
        <v>261282</v>
      </c>
      <c r="BK21" s="24">
        <v>808</v>
      </c>
      <c r="BL21" s="804">
        <f t="shared" si="18"/>
        <v>261282</v>
      </c>
      <c r="BM21" s="805">
        <f t="shared" si="19"/>
        <v>808</v>
      </c>
      <c r="BN21" s="27">
        <v>34934</v>
      </c>
      <c r="BO21" s="24">
        <v>216202</v>
      </c>
      <c r="BP21" s="24"/>
      <c r="BQ21" s="28"/>
      <c r="BR21" s="27">
        <v>87716</v>
      </c>
      <c r="BS21" s="24">
        <v>349309</v>
      </c>
      <c r="BT21" s="24">
        <f t="shared" si="40"/>
        <v>87716</v>
      </c>
      <c r="BU21" s="28">
        <f t="shared" si="41"/>
        <v>349309</v>
      </c>
      <c r="BV21" s="294"/>
      <c r="BW21" s="24"/>
      <c r="BX21" s="24"/>
      <c r="BY21" s="28"/>
      <c r="BZ21" s="400"/>
      <c r="CA21" s="395"/>
      <c r="CB21" s="807">
        <f t="shared" si="22"/>
        <v>0</v>
      </c>
      <c r="CC21" s="808">
        <f t="shared" si="23"/>
        <v>0</v>
      </c>
      <c r="CD21" s="33">
        <v>323</v>
      </c>
      <c r="CE21" s="34"/>
      <c r="CF21" s="34">
        <f t="shared" si="42"/>
        <v>323</v>
      </c>
      <c r="CG21" s="35">
        <f t="shared" si="43"/>
        <v>0</v>
      </c>
      <c r="CH21" s="36">
        <f>202741+6031+1156+82319</f>
        <v>292247</v>
      </c>
      <c r="CI21" s="37">
        <f>86444+7754+73032</f>
        <v>167230</v>
      </c>
      <c r="CJ21" s="804">
        <f t="shared" si="24"/>
        <v>292247</v>
      </c>
      <c r="CK21" s="805">
        <f t="shared" si="25"/>
        <v>167230</v>
      </c>
      <c r="CL21" s="27">
        <v>834881</v>
      </c>
      <c r="CM21" s="24">
        <v>1001210</v>
      </c>
      <c r="CN21" s="24">
        <f t="shared" si="44"/>
        <v>834881</v>
      </c>
      <c r="CO21" s="28">
        <f t="shared" si="45"/>
        <v>1001210</v>
      </c>
      <c r="CP21" s="18">
        <f t="shared" si="26"/>
        <v>6673194</v>
      </c>
      <c r="CQ21" s="17">
        <f t="shared" si="26"/>
        <v>5267211</v>
      </c>
      <c r="CR21" s="17">
        <f t="shared" si="26"/>
        <v>6638260</v>
      </c>
      <c r="CS21" s="1487">
        <f t="shared" si="26"/>
        <v>5051009</v>
      </c>
      <c r="CT21" s="306"/>
      <c r="CU21" s="37"/>
      <c r="CV21" s="37">
        <f t="shared" si="46"/>
        <v>0</v>
      </c>
      <c r="CW21" s="38">
        <f t="shared" si="47"/>
        <v>0</v>
      </c>
      <c r="CX21" s="17">
        <f t="shared" si="27"/>
        <v>6673194</v>
      </c>
      <c r="CY21" s="17">
        <f t="shared" si="27"/>
        <v>5267211</v>
      </c>
      <c r="CZ21" s="17">
        <f t="shared" si="27"/>
        <v>6638260</v>
      </c>
      <c r="DA21" s="1487">
        <f t="shared" si="27"/>
        <v>5051009</v>
      </c>
    </row>
    <row r="22" spans="1:105" ht="14.25">
      <c r="A22" s="1475" t="s">
        <v>159</v>
      </c>
      <c r="B22" s="76"/>
      <c r="C22" s="15"/>
      <c r="D22" s="16">
        <f t="shared" si="50"/>
        <v>0</v>
      </c>
      <c r="E22" s="19">
        <f t="shared" si="51"/>
        <v>0</v>
      </c>
      <c r="F22" s="27"/>
      <c r="G22" s="24"/>
      <c r="H22" s="24">
        <f t="shared" si="52"/>
        <v>0</v>
      </c>
      <c r="I22" s="28">
        <f t="shared" si="53"/>
        <v>0</v>
      </c>
      <c r="J22" s="27"/>
      <c r="K22" s="24"/>
      <c r="L22" s="24">
        <f t="shared" si="30"/>
        <v>0</v>
      </c>
      <c r="M22" s="28">
        <f t="shared" si="31"/>
        <v>0</v>
      </c>
      <c r="N22" s="27"/>
      <c r="O22" s="24"/>
      <c r="P22" s="804">
        <f t="shared" si="4"/>
        <v>0</v>
      </c>
      <c r="Q22" s="805">
        <f t="shared" si="5"/>
        <v>0</v>
      </c>
      <c r="R22" s="27"/>
      <c r="S22" s="24"/>
      <c r="T22" s="804">
        <f t="shared" si="6"/>
        <v>0</v>
      </c>
      <c r="U22" s="805">
        <f t="shared" si="7"/>
        <v>0</v>
      </c>
      <c r="V22" s="27"/>
      <c r="W22" s="24"/>
      <c r="X22" s="24">
        <f t="shared" si="32"/>
        <v>0</v>
      </c>
      <c r="Y22" s="28">
        <f t="shared" si="33"/>
        <v>0</v>
      </c>
      <c r="Z22" s="27"/>
      <c r="AA22" s="24"/>
      <c r="AB22" s="804">
        <f t="shared" si="8"/>
        <v>0</v>
      </c>
      <c r="AC22" s="805">
        <f t="shared" si="9"/>
        <v>0</v>
      </c>
      <c r="AD22" s="27"/>
      <c r="AE22" s="24"/>
      <c r="AF22" s="804">
        <f t="shared" si="10"/>
        <v>0</v>
      </c>
      <c r="AG22" s="805">
        <f t="shared" si="11"/>
        <v>0</v>
      </c>
      <c r="AH22" s="27"/>
      <c r="AI22" s="24"/>
      <c r="AJ22" s="24">
        <f t="shared" si="54"/>
        <v>0</v>
      </c>
      <c r="AK22" s="28">
        <f t="shared" si="55"/>
        <v>0</v>
      </c>
      <c r="AL22" s="27"/>
      <c r="AM22" s="24"/>
      <c r="AN22" s="24">
        <f t="shared" si="34"/>
        <v>0</v>
      </c>
      <c r="AO22" s="28">
        <f t="shared" si="35"/>
        <v>0</v>
      </c>
      <c r="AP22" s="27"/>
      <c r="AQ22" s="24"/>
      <c r="AR22" s="804">
        <f t="shared" si="12"/>
        <v>0</v>
      </c>
      <c r="AS22" s="805">
        <f t="shared" si="13"/>
        <v>0</v>
      </c>
      <c r="AT22" s="27"/>
      <c r="AU22" s="24"/>
      <c r="AV22" s="803">
        <f t="shared" si="14"/>
        <v>0</v>
      </c>
      <c r="AW22" s="1245">
        <f t="shared" si="15"/>
        <v>0</v>
      </c>
      <c r="AX22" s="29"/>
      <c r="AY22" s="30"/>
      <c r="AZ22" s="30">
        <f t="shared" si="36"/>
        <v>0</v>
      </c>
      <c r="BA22" s="31">
        <f t="shared" si="37"/>
        <v>0</v>
      </c>
      <c r="BB22" s="27"/>
      <c r="BC22" s="24"/>
      <c r="BD22" s="804">
        <f t="shared" si="16"/>
        <v>0</v>
      </c>
      <c r="BE22" s="805">
        <f t="shared" si="17"/>
        <v>0</v>
      </c>
      <c r="BF22" s="27"/>
      <c r="BG22" s="24"/>
      <c r="BH22" s="24">
        <f t="shared" si="38"/>
        <v>0</v>
      </c>
      <c r="BI22" s="28">
        <f t="shared" si="39"/>
        <v>0</v>
      </c>
      <c r="BJ22" s="27"/>
      <c r="BK22" s="24"/>
      <c r="BL22" s="804">
        <f t="shared" si="18"/>
        <v>0</v>
      </c>
      <c r="BM22" s="805">
        <f t="shared" si="19"/>
        <v>0</v>
      </c>
      <c r="BN22" s="27"/>
      <c r="BO22" s="24"/>
      <c r="BP22" s="24"/>
      <c r="BQ22" s="28"/>
      <c r="BR22" s="27"/>
      <c r="BS22" s="24"/>
      <c r="BT22" s="24">
        <f t="shared" si="40"/>
        <v>0</v>
      </c>
      <c r="BU22" s="28">
        <f t="shared" si="41"/>
        <v>0</v>
      </c>
      <c r="BV22" s="294"/>
      <c r="BW22" s="24"/>
      <c r="BX22" s="24"/>
      <c r="BY22" s="28"/>
      <c r="BZ22" s="397"/>
      <c r="CA22" s="393"/>
      <c r="CB22" s="807">
        <f t="shared" si="22"/>
        <v>0</v>
      </c>
      <c r="CC22" s="808">
        <f t="shared" si="23"/>
        <v>0</v>
      </c>
      <c r="CD22" s="33"/>
      <c r="CE22" s="34"/>
      <c r="CF22" s="34">
        <f t="shared" si="42"/>
        <v>0</v>
      </c>
      <c r="CG22" s="35">
        <f t="shared" si="43"/>
        <v>0</v>
      </c>
      <c r="CH22" s="36"/>
      <c r="CI22" s="37"/>
      <c r="CJ22" s="804">
        <f t="shared" si="24"/>
        <v>0</v>
      </c>
      <c r="CK22" s="805">
        <f t="shared" si="25"/>
        <v>0</v>
      </c>
      <c r="CL22" s="27"/>
      <c r="CM22" s="24"/>
      <c r="CN22" s="24">
        <f t="shared" si="44"/>
        <v>0</v>
      </c>
      <c r="CO22" s="28">
        <f t="shared" si="45"/>
        <v>0</v>
      </c>
      <c r="CP22" s="18">
        <f t="shared" si="26"/>
        <v>0</v>
      </c>
      <c r="CQ22" s="17">
        <f t="shared" si="26"/>
        <v>0</v>
      </c>
      <c r="CR22" s="17">
        <f t="shared" si="26"/>
        <v>0</v>
      </c>
      <c r="CS22" s="1487">
        <f t="shared" si="26"/>
        <v>0</v>
      </c>
      <c r="CT22" s="306"/>
      <c r="CU22" s="37"/>
      <c r="CV22" s="37">
        <f t="shared" si="46"/>
        <v>0</v>
      </c>
      <c r="CW22" s="38">
        <f t="shared" si="47"/>
        <v>0</v>
      </c>
      <c r="CX22" s="17">
        <f t="shared" si="27"/>
        <v>0</v>
      </c>
      <c r="CY22" s="17">
        <f t="shared" si="27"/>
        <v>0</v>
      </c>
      <c r="CZ22" s="17">
        <f t="shared" si="27"/>
        <v>0</v>
      </c>
      <c r="DA22" s="1487">
        <f t="shared" si="27"/>
        <v>0</v>
      </c>
    </row>
    <row r="23" spans="1:105" ht="28.5">
      <c r="A23" s="1475" t="s">
        <v>160</v>
      </c>
      <c r="B23" s="76"/>
      <c r="C23" s="15"/>
      <c r="D23" s="16">
        <f t="shared" si="50"/>
        <v>0</v>
      </c>
      <c r="E23" s="19">
        <f t="shared" si="51"/>
        <v>0</v>
      </c>
      <c r="F23" s="27"/>
      <c r="G23" s="24"/>
      <c r="H23" s="24">
        <f t="shared" si="52"/>
        <v>0</v>
      </c>
      <c r="I23" s="28">
        <f t="shared" si="53"/>
        <v>0</v>
      </c>
      <c r="J23" s="27">
        <v>15175</v>
      </c>
      <c r="K23" s="24"/>
      <c r="L23" s="24">
        <f t="shared" si="30"/>
        <v>15175</v>
      </c>
      <c r="M23" s="28">
        <f t="shared" si="31"/>
        <v>0</v>
      </c>
      <c r="N23" s="27">
        <v>1195369</v>
      </c>
      <c r="O23" s="24"/>
      <c r="P23" s="804">
        <f t="shared" si="4"/>
        <v>1195369</v>
      </c>
      <c r="Q23" s="805">
        <f t="shared" si="5"/>
        <v>0</v>
      </c>
      <c r="R23" s="27"/>
      <c r="S23" s="24"/>
      <c r="T23" s="804">
        <f t="shared" si="6"/>
        <v>0</v>
      </c>
      <c r="U23" s="805">
        <f t="shared" si="7"/>
        <v>0</v>
      </c>
      <c r="V23" s="27"/>
      <c r="W23" s="24"/>
      <c r="X23" s="24">
        <f t="shared" si="32"/>
        <v>0</v>
      </c>
      <c r="Y23" s="28">
        <f t="shared" si="33"/>
        <v>0</v>
      </c>
      <c r="Z23" s="27">
        <v>257252</v>
      </c>
      <c r="AA23" s="24"/>
      <c r="AB23" s="804">
        <f t="shared" si="8"/>
        <v>257252</v>
      </c>
      <c r="AC23" s="805">
        <f t="shared" si="9"/>
        <v>0</v>
      </c>
      <c r="AD23" s="27">
        <v>190079</v>
      </c>
      <c r="AE23" s="24"/>
      <c r="AF23" s="804">
        <f t="shared" si="10"/>
        <v>190079</v>
      </c>
      <c r="AG23" s="805">
        <f t="shared" si="11"/>
        <v>0</v>
      </c>
      <c r="AH23" s="27"/>
      <c r="AI23" s="24"/>
      <c r="AJ23" s="24">
        <f t="shared" si="54"/>
        <v>0</v>
      </c>
      <c r="AK23" s="28">
        <f t="shared" si="55"/>
        <v>0</v>
      </c>
      <c r="AL23" s="27"/>
      <c r="AM23" s="24"/>
      <c r="AN23" s="24">
        <f t="shared" si="34"/>
        <v>0</v>
      </c>
      <c r="AO23" s="28">
        <f t="shared" si="35"/>
        <v>0</v>
      </c>
      <c r="AP23" s="27">
        <v>101919</v>
      </c>
      <c r="AQ23" s="24">
        <v>3310</v>
      </c>
      <c r="AR23" s="804">
        <f t="shared" si="12"/>
        <v>101919</v>
      </c>
      <c r="AS23" s="805">
        <f t="shared" si="13"/>
        <v>3310</v>
      </c>
      <c r="AT23" s="27"/>
      <c r="AU23" s="24"/>
      <c r="AV23" s="803">
        <f t="shared" si="14"/>
        <v>0</v>
      </c>
      <c r="AW23" s="1245">
        <f t="shared" si="15"/>
        <v>0</v>
      </c>
      <c r="AX23" s="29">
        <v>-6588</v>
      </c>
      <c r="AY23" s="30"/>
      <c r="AZ23" s="30">
        <f t="shared" si="36"/>
        <v>-6588</v>
      </c>
      <c r="BA23" s="31">
        <f t="shared" si="37"/>
        <v>0</v>
      </c>
      <c r="BB23" s="27">
        <v>466363</v>
      </c>
      <c r="BC23" s="24"/>
      <c r="BD23" s="804">
        <f t="shared" si="16"/>
        <v>466363</v>
      </c>
      <c r="BE23" s="805">
        <f t="shared" si="17"/>
        <v>0</v>
      </c>
      <c r="BF23" s="27">
        <v>-408</v>
      </c>
      <c r="BG23" s="24">
        <v>1241</v>
      </c>
      <c r="BH23" s="24">
        <f t="shared" si="38"/>
        <v>-408</v>
      </c>
      <c r="BI23" s="28">
        <f t="shared" si="39"/>
        <v>1241</v>
      </c>
      <c r="BJ23" s="27"/>
      <c r="BK23" s="24"/>
      <c r="BL23" s="804">
        <f t="shared" si="18"/>
        <v>0</v>
      </c>
      <c r="BM23" s="805">
        <f t="shared" si="19"/>
        <v>0</v>
      </c>
      <c r="BN23" s="27"/>
      <c r="BO23" s="24"/>
      <c r="BP23" s="24"/>
      <c r="BQ23" s="28"/>
      <c r="BR23" s="27"/>
      <c r="BS23" s="24"/>
      <c r="BT23" s="24">
        <f t="shared" si="40"/>
        <v>0</v>
      </c>
      <c r="BU23" s="28">
        <f t="shared" si="41"/>
        <v>0</v>
      </c>
      <c r="BV23" s="294"/>
      <c r="BW23" s="24"/>
      <c r="BX23" s="24"/>
      <c r="BY23" s="28"/>
      <c r="BZ23" s="399">
        <v>20010</v>
      </c>
      <c r="CA23" s="394">
        <v>-7392</v>
      </c>
      <c r="CB23" s="807">
        <f t="shared" si="22"/>
        <v>20010</v>
      </c>
      <c r="CC23" s="808">
        <f t="shared" si="23"/>
        <v>-7392</v>
      </c>
      <c r="CD23" s="33">
        <v>8937</v>
      </c>
      <c r="CE23" s="34"/>
      <c r="CF23" s="34">
        <f t="shared" si="42"/>
        <v>8937</v>
      </c>
      <c r="CG23" s="35">
        <f t="shared" si="43"/>
        <v>0</v>
      </c>
      <c r="CH23" s="36">
        <v>182800</v>
      </c>
      <c r="CI23" s="37"/>
      <c r="CJ23" s="804">
        <f t="shared" si="24"/>
        <v>182800</v>
      </c>
      <c r="CK23" s="805">
        <f t="shared" si="25"/>
        <v>0</v>
      </c>
      <c r="CL23" s="27"/>
      <c r="CM23" s="24"/>
      <c r="CN23" s="24">
        <f t="shared" si="44"/>
        <v>0</v>
      </c>
      <c r="CO23" s="28">
        <f t="shared" si="45"/>
        <v>0</v>
      </c>
      <c r="CP23" s="18">
        <f t="shared" si="26"/>
        <v>2430908</v>
      </c>
      <c r="CQ23" s="17">
        <f t="shared" si="26"/>
        <v>-2841</v>
      </c>
      <c r="CR23" s="17">
        <f t="shared" si="26"/>
        <v>2430908</v>
      </c>
      <c r="CS23" s="1487">
        <f t="shared" si="26"/>
        <v>-2841</v>
      </c>
      <c r="CT23" s="306"/>
      <c r="CU23" s="37"/>
      <c r="CV23" s="37">
        <f t="shared" si="46"/>
        <v>0</v>
      </c>
      <c r="CW23" s="38">
        <f t="shared" si="47"/>
        <v>0</v>
      </c>
      <c r="CX23" s="17">
        <f t="shared" si="27"/>
        <v>2430908</v>
      </c>
      <c r="CY23" s="17">
        <f t="shared" si="27"/>
        <v>-2841</v>
      </c>
      <c r="CZ23" s="17">
        <f t="shared" si="27"/>
        <v>2430908</v>
      </c>
      <c r="DA23" s="1487">
        <f t="shared" si="27"/>
        <v>-2841</v>
      </c>
    </row>
    <row r="24" spans="1:105" ht="14.25">
      <c r="A24" s="1475" t="s">
        <v>161</v>
      </c>
      <c r="B24" s="76"/>
      <c r="C24" s="15"/>
      <c r="D24" s="16">
        <f t="shared" si="50"/>
        <v>0</v>
      </c>
      <c r="E24" s="19">
        <f t="shared" si="51"/>
        <v>0</v>
      </c>
      <c r="F24" s="27">
        <v>-200</v>
      </c>
      <c r="G24" s="24"/>
      <c r="H24" s="24">
        <f t="shared" si="52"/>
        <v>-200</v>
      </c>
      <c r="I24" s="28">
        <f t="shared" si="53"/>
        <v>0</v>
      </c>
      <c r="J24" s="27"/>
      <c r="K24" s="24"/>
      <c r="L24" s="24">
        <f t="shared" si="30"/>
        <v>0</v>
      </c>
      <c r="M24" s="28">
        <f t="shared" si="31"/>
        <v>0</v>
      </c>
      <c r="N24" s="27"/>
      <c r="O24" s="24"/>
      <c r="P24" s="804">
        <f t="shared" si="4"/>
        <v>0</v>
      </c>
      <c r="Q24" s="805">
        <f t="shared" si="5"/>
        <v>0</v>
      </c>
      <c r="R24" s="27"/>
      <c r="S24" s="24"/>
      <c r="T24" s="804">
        <f t="shared" si="6"/>
        <v>0</v>
      </c>
      <c r="U24" s="805">
        <f t="shared" si="7"/>
        <v>0</v>
      </c>
      <c r="V24" s="27"/>
      <c r="W24" s="24"/>
      <c r="X24" s="24">
        <f t="shared" si="32"/>
        <v>0</v>
      </c>
      <c r="Y24" s="28">
        <f t="shared" si="33"/>
        <v>0</v>
      </c>
      <c r="Z24" s="27"/>
      <c r="AA24" s="24"/>
      <c r="AB24" s="804">
        <f t="shared" si="8"/>
        <v>0</v>
      </c>
      <c r="AC24" s="805">
        <f t="shared" si="9"/>
        <v>0</v>
      </c>
      <c r="AD24" s="27"/>
      <c r="AE24" s="24"/>
      <c r="AF24" s="804">
        <f t="shared" si="10"/>
        <v>0</v>
      </c>
      <c r="AG24" s="805">
        <f t="shared" si="11"/>
        <v>0</v>
      </c>
      <c r="AH24" s="27"/>
      <c r="AI24" s="24"/>
      <c r="AJ24" s="24">
        <f t="shared" si="54"/>
        <v>0</v>
      </c>
      <c r="AK24" s="28">
        <f t="shared" si="55"/>
        <v>0</v>
      </c>
      <c r="AL24" s="27"/>
      <c r="AM24" s="24"/>
      <c r="AN24" s="24">
        <f t="shared" si="34"/>
        <v>0</v>
      </c>
      <c r="AO24" s="28">
        <f t="shared" si="35"/>
        <v>0</v>
      </c>
      <c r="AP24" s="27"/>
      <c r="AQ24" s="24"/>
      <c r="AR24" s="804">
        <f t="shared" si="12"/>
        <v>0</v>
      </c>
      <c r="AS24" s="805">
        <f t="shared" si="13"/>
        <v>0</v>
      </c>
      <c r="AT24" s="27"/>
      <c r="AU24" s="24"/>
      <c r="AV24" s="803">
        <f t="shared" si="14"/>
        <v>0</v>
      </c>
      <c r="AW24" s="1245">
        <f t="shared" si="15"/>
        <v>0</v>
      </c>
      <c r="AX24" s="29"/>
      <c r="AY24" s="30"/>
      <c r="AZ24" s="30">
        <f t="shared" si="36"/>
        <v>0</v>
      </c>
      <c r="BA24" s="31">
        <f t="shared" si="37"/>
        <v>0</v>
      </c>
      <c r="BB24" s="27">
        <v>1804</v>
      </c>
      <c r="BC24" s="24">
        <v>1122</v>
      </c>
      <c r="BD24" s="804">
        <f t="shared" si="16"/>
        <v>1804</v>
      </c>
      <c r="BE24" s="805">
        <f t="shared" si="17"/>
        <v>1122</v>
      </c>
      <c r="BF24" s="27"/>
      <c r="BG24" s="24"/>
      <c r="BH24" s="24">
        <f t="shared" si="38"/>
        <v>0</v>
      </c>
      <c r="BI24" s="28">
        <f t="shared" si="39"/>
        <v>0</v>
      </c>
      <c r="BJ24" s="27"/>
      <c r="BK24" s="24"/>
      <c r="BL24" s="804">
        <f t="shared" si="18"/>
        <v>0</v>
      </c>
      <c r="BM24" s="805">
        <f t="shared" si="19"/>
        <v>0</v>
      </c>
      <c r="BN24" s="27"/>
      <c r="BO24" s="24"/>
      <c r="BP24" s="24"/>
      <c r="BQ24" s="28"/>
      <c r="BR24" s="27"/>
      <c r="BS24" s="24"/>
      <c r="BT24" s="24">
        <f t="shared" si="40"/>
        <v>0</v>
      </c>
      <c r="BU24" s="28">
        <f t="shared" si="41"/>
        <v>0</v>
      </c>
      <c r="BV24" s="294"/>
      <c r="BW24" s="24"/>
      <c r="BX24" s="24"/>
      <c r="BY24" s="28"/>
      <c r="BZ24" s="400"/>
      <c r="CA24" s="395"/>
      <c r="CB24" s="807">
        <f t="shared" si="22"/>
        <v>0</v>
      </c>
      <c r="CC24" s="808">
        <f t="shared" si="23"/>
        <v>0</v>
      </c>
      <c r="CD24" s="33"/>
      <c r="CE24" s="34"/>
      <c r="CF24" s="34">
        <f t="shared" si="42"/>
        <v>0</v>
      </c>
      <c r="CG24" s="35">
        <f t="shared" si="43"/>
        <v>0</v>
      </c>
      <c r="CH24" s="36">
        <v>157</v>
      </c>
      <c r="CI24" s="37">
        <v>4426</v>
      </c>
      <c r="CJ24" s="804">
        <f t="shared" si="24"/>
        <v>157</v>
      </c>
      <c r="CK24" s="805">
        <f t="shared" si="25"/>
        <v>4426</v>
      </c>
      <c r="CL24" s="27">
        <v>1193</v>
      </c>
      <c r="CM24" s="24">
        <v>5204</v>
      </c>
      <c r="CN24" s="24">
        <f t="shared" si="44"/>
        <v>1193</v>
      </c>
      <c r="CO24" s="28">
        <f t="shared" si="45"/>
        <v>5204</v>
      </c>
      <c r="CP24" s="18">
        <f t="shared" si="26"/>
        <v>2954</v>
      </c>
      <c r="CQ24" s="17">
        <f t="shared" si="26"/>
        <v>10752</v>
      </c>
      <c r="CR24" s="17">
        <f t="shared" si="26"/>
        <v>2954</v>
      </c>
      <c r="CS24" s="1487">
        <f t="shared" si="26"/>
        <v>10752</v>
      </c>
      <c r="CT24" s="306"/>
      <c r="CU24" s="37"/>
      <c r="CV24" s="37">
        <f t="shared" si="46"/>
        <v>0</v>
      </c>
      <c r="CW24" s="38">
        <f t="shared" si="47"/>
        <v>0</v>
      </c>
      <c r="CX24" s="17">
        <f t="shared" si="27"/>
        <v>2954</v>
      </c>
      <c r="CY24" s="17">
        <f t="shared" si="27"/>
        <v>10752</v>
      </c>
      <c r="CZ24" s="17">
        <f t="shared" si="27"/>
        <v>2954</v>
      </c>
      <c r="DA24" s="1487">
        <f t="shared" si="27"/>
        <v>10752</v>
      </c>
    </row>
    <row r="25" spans="1:105" ht="14.25">
      <c r="A25" s="1475" t="s">
        <v>305</v>
      </c>
      <c r="B25" s="76"/>
      <c r="C25" s="15"/>
      <c r="D25" s="16">
        <f>B25</f>
        <v>0</v>
      </c>
      <c r="E25" s="19">
        <f>C25</f>
        <v>0</v>
      </c>
      <c r="F25" s="27"/>
      <c r="G25" s="24"/>
      <c r="H25" s="24">
        <f t="shared" si="52"/>
        <v>0</v>
      </c>
      <c r="I25" s="28">
        <f t="shared" si="53"/>
        <v>0</v>
      </c>
      <c r="J25" s="27"/>
      <c r="K25" s="24"/>
      <c r="L25" s="24">
        <f t="shared" si="30"/>
        <v>0</v>
      </c>
      <c r="M25" s="28">
        <f t="shared" si="31"/>
        <v>0</v>
      </c>
      <c r="N25" s="27"/>
      <c r="O25" s="24"/>
      <c r="P25" s="804">
        <f t="shared" si="4"/>
        <v>0</v>
      </c>
      <c r="Q25" s="805">
        <f t="shared" si="5"/>
        <v>0</v>
      </c>
      <c r="R25" s="27"/>
      <c r="S25" s="24"/>
      <c r="T25" s="804">
        <f t="shared" si="6"/>
        <v>0</v>
      </c>
      <c r="U25" s="805">
        <f t="shared" si="7"/>
        <v>0</v>
      </c>
      <c r="V25" s="27"/>
      <c r="W25" s="24"/>
      <c r="X25" s="24">
        <f t="shared" si="32"/>
        <v>0</v>
      </c>
      <c r="Y25" s="28">
        <f t="shared" si="33"/>
        <v>0</v>
      </c>
      <c r="Z25" s="27"/>
      <c r="AA25" s="24"/>
      <c r="AB25" s="804">
        <f t="shared" si="8"/>
        <v>0</v>
      </c>
      <c r="AC25" s="805">
        <f t="shared" si="9"/>
        <v>0</v>
      </c>
      <c r="AD25" s="27"/>
      <c r="AE25" s="24"/>
      <c r="AF25" s="804">
        <f t="shared" si="10"/>
        <v>0</v>
      </c>
      <c r="AG25" s="805">
        <f t="shared" si="11"/>
        <v>0</v>
      </c>
      <c r="AH25" s="27"/>
      <c r="AI25" s="24"/>
      <c r="AJ25" s="24">
        <f t="shared" si="54"/>
        <v>0</v>
      </c>
      <c r="AK25" s="28">
        <f t="shared" si="55"/>
        <v>0</v>
      </c>
      <c r="AL25" s="27"/>
      <c r="AM25" s="24"/>
      <c r="AN25" s="24">
        <f t="shared" si="34"/>
        <v>0</v>
      </c>
      <c r="AO25" s="28">
        <f t="shared" si="35"/>
        <v>0</v>
      </c>
      <c r="AP25" s="27"/>
      <c r="AQ25" s="24"/>
      <c r="AR25" s="804">
        <f t="shared" si="12"/>
        <v>0</v>
      </c>
      <c r="AS25" s="805">
        <f t="shared" si="13"/>
        <v>0</v>
      </c>
      <c r="AT25" s="27"/>
      <c r="AU25" s="24"/>
      <c r="AV25" s="803">
        <f t="shared" si="14"/>
        <v>0</v>
      </c>
      <c r="AW25" s="1245">
        <f t="shared" si="15"/>
        <v>0</v>
      </c>
      <c r="AX25" s="29"/>
      <c r="AY25" s="30"/>
      <c r="AZ25" s="30">
        <f t="shared" si="36"/>
        <v>0</v>
      </c>
      <c r="BA25" s="31">
        <f t="shared" si="37"/>
        <v>0</v>
      </c>
      <c r="BB25" s="27"/>
      <c r="BC25" s="24"/>
      <c r="BD25" s="804">
        <f t="shared" si="16"/>
        <v>0</v>
      </c>
      <c r="BE25" s="805">
        <f t="shared" si="17"/>
        <v>0</v>
      </c>
      <c r="BF25" s="27"/>
      <c r="BG25" s="24"/>
      <c r="BH25" s="24">
        <f t="shared" si="38"/>
        <v>0</v>
      </c>
      <c r="BI25" s="28">
        <f t="shared" si="39"/>
        <v>0</v>
      </c>
      <c r="BJ25" s="27">
        <f>367+524+8491</f>
        <v>9382</v>
      </c>
      <c r="BK25" s="24">
        <f>498+658+6080</f>
        <v>7236</v>
      </c>
      <c r="BL25" s="804">
        <f t="shared" si="18"/>
        <v>9382</v>
      </c>
      <c r="BM25" s="805">
        <f t="shared" si="19"/>
        <v>7236</v>
      </c>
      <c r="BN25" s="27"/>
      <c r="BO25" s="24"/>
      <c r="BP25" s="24"/>
      <c r="BQ25" s="28"/>
      <c r="BR25" s="27"/>
      <c r="BS25" s="24"/>
      <c r="BT25" s="24">
        <f t="shared" si="40"/>
        <v>0</v>
      </c>
      <c r="BU25" s="28">
        <f t="shared" si="41"/>
        <v>0</v>
      </c>
      <c r="BV25" s="294"/>
      <c r="BW25" s="24"/>
      <c r="BX25" s="24"/>
      <c r="BY25" s="28"/>
      <c r="BZ25" s="400"/>
      <c r="CA25" s="395"/>
      <c r="CB25" s="807">
        <f t="shared" si="22"/>
        <v>0</v>
      </c>
      <c r="CC25" s="808">
        <f t="shared" si="23"/>
        <v>0</v>
      </c>
      <c r="CD25" s="702"/>
      <c r="CE25" s="703"/>
      <c r="CF25" s="34">
        <f t="shared" si="42"/>
        <v>0</v>
      </c>
      <c r="CG25" s="35">
        <f t="shared" si="43"/>
        <v>0</v>
      </c>
      <c r="CH25" s="36"/>
      <c r="CI25" s="37"/>
      <c r="CJ25" s="804">
        <f t="shared" si="24"/>
        <v>0</v>
      </c>
      <c r="CK25" s="805">
        <f t="shared" si="25"/>
        <v>0</v>
      </c>
      <c r="CL25" s="27"/>
      <c r="CM25" s="24"/>
      <c r="CN25" s="24">
        <f t="shared" si="44"/>
        <v>0</v>
      </c>
      <c r="CO25" s="28">
        <f t="shared" si="45"/>
        <v>0</v>
      </c>
      <c r="CP25" s="18"/>
      <c r="CQ25" s="17"/>
      <c r="CR25" s="17"/>
      <c r="CS25" s="1487"/>
      <c r="CT25" s="306"/>
      <c r="CU25" s="37"/>
      <c r="CV25" s="37">
        <f t="shared" si="46"/>
        <v>0</v>
      </c>
      <c r="CW25" s="38">
        <f t="shared" si="47"/>
        <v>0</v>
      </c>
      <c r="CX25" s="17"/>
      <c r="CY25" s="17"/>
      <c r="CZ25" s="17"/>
      <c r="DA25" s="1487"/>
    </row>
    <row r="26" spans="1:105" s="1686" customFormat="1" ht="14.25">
      <c r="A26" s="1679" t="s">
        <v>468</v>
      </c>
      <c r="B26" s="1680">
        <f aca="true" t="shared" si="56" ref="B26:BG26">SUM(B13:B24)</f>
        <v>793787</v>
      </c>
      <c r="C26" s="1681">
        <f t="shared" si="56"/>
        <v>819553</v>
      </c>
      <c r="D26" s="1681">
        <f aca="true" t="shared" si="57" ref="D26:D35">B26</f>
        <v>793787</v>
      </c>
      <c r="E26" s="1682">
        <f aca="true" t="shared" si="58" ref="E26:E35">C26</f>
        <v>819553</v>
      </c>
      <c r="F26" s="1683">
        <f t="shared" si="56"/>
        <v>289979</v>
      </c>
      <c r="G26" s="1681">
        <f t="shared" si="56"/>
        <v>334690</v>
      </c>
      <c r="H26" s="1658">
        <f t="shared" si="52"/>
        <v>289979</v>
      </c>
      <c r="I26" s="1659">
        <f t="shared" si="53"/>
        <v>334690</v>
      </c>
      <c r="J26" s="1683">
        <f t="shared" si="56"/>
        <v>140269</v>
      </c>
      <c r="K26" s="1681">
        <f t="shared" si="56"/>
        <v>157200</v>
      </c>
      <c r="L26" s="1658">
        <f t="shared" si="30"/>
        <v>140269</v>
      </c>
      <c r="M26" s="1659">
        <f t="shared" si="31"/>
        <v>157200</v>
      </c>
      <c r="N26" s="1683">
        <f t="shared" si="56"/>
        <v>1613850</v>
      </c>
      <c r="O26" s="1681">
        <f t="shared" si="56"/>
        <v>175006</v>
      </c>
      <c r="P26" s="1662">
        <f t="shared" si="4"/>
        <v>1613850</v>
      </c>
      <c r="Q26" s="1663">
        <f t="shared" si="5"/>
        <v>175006</v>
      </c>
      <c r="R26" s="1683">
        <f t="shared" si="56"/>
        <v>27829</v>
      </c>
      <c r="S26" s="1681">
        <f t="shared" si="56"/>
        <v>20056</v>
      </c>
      <c r="T26" s="1662">
        <f t="shared" si="6"/>
        <v>27829</v>
      </c>
      <c r="U26" s="1663">
        <f t="shared" si="7"/>
        <v>20056</v>
      </c>
      <c r="V26" s="1683">
        <f t="shared" si="56"/>
        <v>21190</v>
      </c>
      <c r="W26" s="1681">
        <f t="shared" si="56"/>
        <v>24460</v>
      </c>
      <c r="X26" s="1658">
        <f t="shared" si="32"/>
        <v>21190</v>
      </c>
      <c r="Y26" s="1659">
        <f t="shared" si="33"/>
        <v>24460</v>
      </c>
      <c r="Z26" s="1683">
        <f t="shared" si="56"/>
        <v>905590</v>
      </c>
      <c r="AA26" s="1681">
        <f t="shared" si="56"/>
        <v>1028324</v>
      </c>
      <c r="AB26" s="1662">
        <f t="shared" si="8"/>
        <v>905590</v>
      </c>
      <c r="AC26" s="1663">
        <f t="shared" si="9"/>
        <v>1028324</v>
      </c>
      <c r="AD26" s="1683">
        <f t="shared" si="56"/>
        <v>1075660</v>
      </c>
      <c r="AE26" s="1681">
        <f t="shared" si="56"/>
        <v>872690</v>
      </c>
      <c r="AF26" s="1662">
        <f t="shared" si="10"/>
        <v>1075660</v>
      </c>
      <c r="AG26" s="1663">
        <f t="shared" si="11"/>
        <v>872690</v>
      </c>
      <c r="AH26" s="1683">
        <f t="shared" si="56"/>
        <v>794980</v>
      </c>
      <c r="AI26" s="1681">
        <f t="shared" si="56"/>
        <v>443702</v>
      </c>
      <c r="AJ26" s="1658">
        <f t="shared" si="54"/>
        <v>794980</v>
      </c>
      <c r="AK26" s="1659">
        <f t="shared" si="55"/>
        <v>443702</v>
      </c>
      <c r="AL26" s="1683">
        <f t="shared" si="56"/>
        <v>605789</v>
      </c>
      <c r="AM26" s="1681">
        <f t="shared" si="56"/>
        <v>622512</v>
      </c>
      <c r="AN26" s="1658">
        <f t="shared" si="34"/>
        <v>605789</v>
      </c>
      <c r="AO26" s="1659">
        <f t="shared" si="35"/>
        <v>622512</v>
      </c>
      <c r="AP26" s="1683">
        <f t="shared" si="56"/>
        <v>122167</v>
      </c>
      <c r="AQ26" s="1681">
        <f t="shared" si="56"/>
        <v>162837</v>
      </c>
      <c r="AR26" s="1662">
        <f t="shared" si="12"/>
        <v>122167</v>
      </c>
      <c r="AS26" s="1663">
        <f t="shared" si="13"/>
        <v>162837</v>
      </c>
      <c r="AT26" s="1683">
        <f t="shared" si="56"/>
        <v>2263509</v>
      </c>
      <c r="AU26" s="1681">
        <f t="shared" si="56"/>
        <v>1033251</v>
      </c>
      <c r="AV26" s="1664">
        <f t="shared" si="14"/>
        <v>2263509</v>
      </c>
      <c r="AW26" s="1665">
        <f t="shared" si="15"/>
        <v>1033251</v>
      </c>
      <c r="AX26" s="1683">
        <f t="shared" si="56"/>
        <v>34196</v>
      </c>
      <c r="AY26" s="1681">
        <f t="shared" si="56"/>
        <v>14299</v>
      </c>
      <c r="AZ26" s="1666">
        <f t="shared" si="36"/>
        <v>34196</v>
      </c>
      <c r="BA26" s="1667">
        <f t="shared" si="37"/>
        <v>14299</v>
      </c>
      <c r="BB26" s="1683">
        <f t="shared" si="56"/>
        <v>774721</v>
      </c>
      <c r="BC26" s="1681">
        <f t="shared" si="56"/>
        <v>257500</v>
      </c>
      <c r="BD26" s="1662">
        <f t="shared" si="16"/>
        <v>774721</v>
      </c>
      <c r="BE26" s="1663">
        <f t="shared" si="17"/>
        <v>257500</v>
      </c>
      <c r="BF26" s="1683">
        <f t="shared" si="56"/>
        <v>30492</v>
      </c>
      <c r="BG26" s="1681">
        <f t="shared" si="56"/>
        <v>10207</v>
      </c>
      <c r="BH26" s="1658">
        <f t="shared" si="38"/>
        <v>30492</v>
      </c>
      <c r="BI26" s="1659">
        <f t="shared" si="39"/>
        <v>10207</v>
      </c>
      <c r="BJ26" s="1683">
        <f>SUM(BJ13:BJ25)</f>
        <v>311426</v>
      </c>
      <c r="BK26" s="1683">
        <f>SUM(BK13:BK25)</f>
        <v>44992</v>
      </c>
      <c r="BL26" s="1662">
        <f t="shared" si="18"/>
        <v>311426</v>
      </c>
      <c r="BM26" s="1663">
        <f t="shared" si="19"/>
        <v>44992</v>
      </c>
      <c r="BN26" s="1683">
        <f aca="true" t="shared" si="59" ref="BN26:CM26">SUM(BN13:BN24)</f>
        <v>52429</v>
      </c>
      <c r="BO26" s="1681">
        <f t="shared" si="59"/>
        <v>230337</v>
      </c>
      <c r="BP26" s="1681">
        <f t="shared" si="59"/>
        <v>0</v>
      </c>
      <c r="BQ26" s="1682">
        <f t="shared" si="59"/>
        <v>0</v>
      </c>
      <c r="BR26" s="1683">
        <f t="shared" si="59"/>
        <v>337795</v>
      </c>
      <c r="BS26" s="1681">
        <f t="shared" si="59"/>
        <v>389149</v>
      </c>
      <c r="BT26" s="1658">
        <f t="shared" si="40"/>
        <v>337795</v>
      </c>
      <c r="BU26" s="1659">
        <f t="shared" si="41"/>
        <v>389149</v>
      </c>
      <c r="BV26" s="1683">
        <f t="shared" si="59"/>
        <v>0</v>
      </c>
      <c r="BW26" s="1681">
        <f t="shared" si="59"/>
        <v>0</v>
      </c>
      <c r="BX26" s="1681">
        <f t="shared" si="59"/>
        <v>0</v>
      </c>
      <c r="BY26" s="1682">
        <f t="shared" si="59"/>
        <v>0</v>
      </c>
      <c r="BZ26" s="1680">
        <f t="shared" si="59"/>
        <v>105601</v>
      </c>
      <c r="CA26" s="1681">
        <f t="shared" si="59"/>
        <v>70429</v>
      </c>
      <c r="CB26" s="1668">
        <f t="shared" si="22"/>
        <v>105601</v>
      </c>
      <c r="CC26" s="1669">
        <f t="shared" si="23"/>
        <v>70429</v>
      </c>
      <c r="CD26" s="1684">
        <f t="shared" si="59"/>
        <v>15230</v>
      </c>
      <c r="CE26" s="1682">
        <f t="shared" si="59"/>
        <v>813</v>
      </c>
      <c r="CF26" s="1670">
        <f t="shared" si="42"/>
        <v>15230</v>
      </c>
      <c r="CG26" s="1671">
        <f t="shared" si="43"/>
        <v>813</v>
      </c>
      <c r="CH26" s="1683">
        <f t="shared" si="59"/>
        <v>494514</v>
      </c>
      <c r="CI26" s="1681">
        <f t="shared" si="59"/>
        <v>204191</v>
      </c>
      <c r="CJ26" s="1662">
        <f t="shared" si="24"/>
        <v>494514</v>
      </c>
      <c r="CK26" s="1663">
        <f t="shared" si="25"/>
        <v>204191</v>
      </c>
      <c r="CL26" s="1683">
        <f t="shared" si="59"/>
        <v>841575</v>
      </c>
      <c r="CM26" s="1681">
        <f t="shared" si="59"/>
        <v>1019710</v>
      </c>
      <c r="CN26" s="1658">
        <f t="shared" si="44"/>
        <v>841575</v>
      </c>
      <c r="CO26" s="1659">
        <f t="shared" si="45"/>
        <v>1019710</v>
      </c>
      <c r="CP26" s="1683">
        <f t="shared" si="26"/>
        <v>11652578</v>
      </c>
      <c r="CQ26" s="1680">
        <f t="shared" si="26"/>
        <v>7935908</v>
      </c>
      <c r="CR26" s="1680">
        <f t="shared" si="26"/>
        <v>11600149</v>
      </c>
      <c r="CS26" s="1685">
        <f t="shared" si="26"/>
        <v>7705571</v>
      </c>
      <c r="CT26" s="1680">
        <f>SUM(CT13:CT24)</f>
        <v>1126</v>
      </c>
      <c r="CU26" s="1681">
        <f>SUM(CU13:CU24)</f>
        <v>990</v>
      </c>
      <c r="CV26" s="1676">
        <f t="shared" si="46"/>
        <v>1126</v>
      </c>
      <c r="CW26" s="1677">
        <f t="shared" si="47"/>
        <v>990</v>
      </c>
      <c r="CX26" s="1680">
        <f t="shared" si="27"/>
        <v>11653704</v>
      </c>
      <c r="CY26" s="1680">
        <f t="shared" si="27"/>
        <v>7936898</v>
      </c>
      <c r="CZ26" s="1680">
        <f t="shared" si="27"/>
        <v>11601275</v>
      </c>
      <c r="DA26" s="1685">
        <f t="shared" si="27"/>
        <v>7706561</v>
      </c>
    </row>
    <row r="27" spans="1:105" ht="14.25">
      <c r="A27" s="1475" t="s">
        <v>162</v>
      </c>
      <c r="B27" s="76">
        <v>216967</v>
      </c>
      <c r="C27" s="15">
        <v>247958</v>
      </c>
      <c r="D27" s="16">
        <f t="shared" si="57"/>
        <v>216967</v>
      </c>
      <c r="E27" s="19">
        <f t="shared" si="58"/>
        <v>247958</v>
      </c>
      <c r="F27" s="27">
        <v>-265932</v>
      </c>
      <c r="G27" s="24">
        <v>-313169</v>
      </c>
      <c r="H27" s="24">
        <f t="shared" si="52"/>
        <v>-265932</v>
      </c>
      <c r="I27" s="28">
        <f t="shared" si="53"/>
        <v>-313169</v>
      </c>
      <c r="J27" s="27">
        <v>-13934</v>
      </c>
      <c r="K27" s="24">
        <v>-20822</v>
      </c>
      <c r="L27" s="24">
        <f t="shared" si="30"/>
        <v>-13934</v>
      </c>
      <c r="M27" s="28">
        <f t="shared" si="31"/>
        <v>-20822</v>
      </c>
      <c r="N27" s="27">
        <f>N12-N26</f>
        <v>802204</v>
      </c>
      <c r="O27" s="27">
        <f>O12-O26</f>
        <v>1703160</v>
      </c>
      <c r="P27" s="804">
        <f t="shared" si="4"/>
        <v>802204</v>
      </c>
      <c r="Q27" s="805">
        <f t="shared" si="5"/>
        <v>1703160</v>
      </c>
      <c r="R27" s="27">
        <v>-345423</v>
      </c>
      <c r="S27" s="24">
        <v>-142139</v>
      </c>
      <c r="T27" s="804">
        <f t="shared" si="6"/>
        <v>-345423</v>
      </c>
      <c r="U27" s="805">
        <f t="shared" si="7"/>
        <v>-142139</v>
      </c>
      <c r="V27" s="27">
        <v>260865</v>
      </c>
      <c r="W27" s="24">
        <v>130250</v>
      </c>
      <c r="X27" s="24">
        <f t="shared" si="32"/>
        <v>260865</v>
      </c>
      <c r="Y27" s="28">
        <f t="shared" si="33"/>
        <v>130250</v>
      </c>
      <c r="Z27" s="27">
        <v>-272862</v>
      </c>
      <c r="AA27" s="24">
        <v>228652</v>
      </c>
      <c r="AB27" s="804">
        <f t="shared" si="8"/>
        <v>-272862</v>
      </c>
      <c r="AC27" s="805">
        <f t="shared" si="9"/>
        <v>228652</v>
      </c>
      <c r="AD27" s="27">
        <v>-730893</v>
      </c>
      <c r="AE27" s="24">
        <v>-682365</v>
      </c>
      <c r="AF27" s="804">
        <f t="shared" si="10"/>
        <v>-730893</v>
      </c>
      <c r="AG27" s="805">
        <f t="shared" si="11"/>
        <v>-682365</v>
      </c>
      <c r="AH27" s="27">
        <v>-604829</v>
      </c>
      <c r="AI27" s="24">
        <v>-274577</v>
      </c>
      <c r="AJ27" s="24">
        <f t="shared" si="54"/>
        <v>-604829</v>
      </c>
      <c r="AK27" s="28">
        <f t="shared" si="55"/>
        <v>-274577</v>
      </c>
      <c r="AL27" s="27">
        <v>-556492</v>
      </c>
      <c r="AM27" s="24">
        <v>-567742</v>
      </c>
      <c r="AN27" s="24">
        <f t="shared" si="34"/>
        <v>-556492</v>
      </c>
      <c r="AO27" s="28">
        <f t="shared" si="35"/>
        <v>-567742</v>
      </c>
      <c r="AP27" s="27">
        <v>4368817</v>
      </c>
      <c r="AQ27" s="24">
        <v>3918107</v>
      </c>
      <c r="AR27" s="804">
        <f t="shared" si="12"/>
        <v>4368817</v>
      </c>
      <c r="AS27" s="805">
        <f t="shared" si="13"/>
        <v>3918107</v>
      </c>
      <c r="AT27" s="27">
        <v>2866861</v>
      </c>
      <c r="AU27" s="24">
        <v>2836293</v>
      </c>
      <c r="AV27" s="803">
        <f t="shared" si="14"/>
        <v>2866861</v>
      </c>
      <c r="AW27" s="1245">
        <f t="shared" si="15"/>
        <v>2836293</v>
      </c>
      <c r="AX27" s="29">
        <v>84870</v>
      </c>
      <c r="AY27" s="30">
        <v>96250</v>
      </c>
      <c r="AZ27" s="30">
        <f t="shared" si="36"/>
        <v>84870</v>
      </c>
      <c r="BA27" s="31">
        <f t="shared" si="37"/>
        <v>96250</v>
      </c>
      <c r="BB27" s="27">
        <v>-607397</v>
      </c>
      <c r="BC27" s="24">
        <v>-94185</v>
      </c>
      <c r="BD27" s="804">
        <f t="shared" si="16"/>
        <v>-607397</v>
      </c>
      <c r="BE27" s="805">
        <f t="shared" si="17"/>
        <v>-94185</v>
      </c>
      <c r="BF27" s="27">
        <v>441461</v>
      </c>
      <c r="BG27" s="24">
        <v>377876</v>
      </c>
      <c r="BH27" s="24">
        <f t="shared" si="38"/>
        <v>441461</v>
      </c>
      <c r="BI27" s="28">
        <f t="shared" si="39"/>
        <v>377876</v>
      </c>
      <c r="BJ27" s="27">
        <v>765030</v>
      </c>
      <c r="BK27" s="24">
        <v>913900</v>
      </c>
      <c r="BL27" s="804">
        <f t="shared" si="18"/>
        <v>765030</v>
      </c>
      <c r="BM27" s="805">
        <f t="shared" si="19"/>
        <v>913900</v>
      </c>
      <c r="BN27" s="27">
        <v>288024</v>
      </c>
      <c r="BO27" s="24">
        <v>264933</v>
      </c>
      <c r="BP27" s="24"/>
      <c r="BQ27" s="28"/>
      <c r="BR27" s="27">
        <v>80259</v>
      </c>
      <c r="BS27" s="24">
        <v>3033</v>
      </c>
      <c r="BT27" s="24">
        <f t="shared" si="40"/>
        <v>80259</v>
      </c>
      <c r="BU27" s="28">
        <f t="shared" si="41"/>
        <v>3033</v>
      </c>
      <c r="BV27" s="294"/>
      <c r="BW27" s="24"/>
      <c r="BX27" s="24"/>
      <c r="BY27" s="28"/>
      <c r="BZ27" s="399">
        <v>3778406</v>
      </c>
      <c r="CA27" s="394">
        <v>3632510</v>
      </c>
      <c r="CB27" s="807">
        <f t="shared" si="22"/>
        <v>3778406</v>
      </c>
      <c r="CC27" s="808">
        <f t="shared" si="23"/>
        <v>3632510</v>
      </c>
      <c r="CD27" s="33">
        <v>-36059</v>
      </c>
      <c r="CE27" s="34">
        <v>-4633</v>
      </c>
      <c r="CF27" s="34">
        <f t="shared" si="42"/>
        <v>-36059</v>
      </c>
      <c r="CG27" s="35">
        <f t="shared" si="43"/>
        <v>-4633</v>
      </c>
      <c r="CH27" s="36">
        <v>-128934</v>
      </c>
      <c r="CI27" s="37">
        <v>10925</v>
      </c>
      <c r="CJ27" s="804">
        <f t="shared" si="24"/>
        <v>-128934</v>
      </c>
      <c r="CK27" s="805">
        <f t="shared" si="25"/>
        <v>10925</v>
      </c>
      <c r="CL27" s="27">
        <v>-494069</v>
      </c>
      <c r="CM27" s="24">
        <v>-673383</v>
      </c>
      <c r="CN27" s="24">
        <f t="shared" si="44"/>
        <v>-494069</v>
      </c>
      <c r="CO27" s="28">
        <f t="shared" si="45"/>
        <v>-673383</v>
      </c>
      <c r="CP27" s="18">
        <f t="shared" si="26"/>
        <v>9896940</v>
      </c>
      <c r="CQ27" s="17">
        <f t="shared" si="26"/>
        <v>11590832</v>
      </c>
      <c r="CR27" s="17">
        <f t="shared" si="26"/>
        <v>9608916</v>
      </c>
      <c r="CS27" s="1487">
        <f t="shared" si="26"/>
        <v>11325899</v>
      </c>
      <c r="CT27" s="306">
        <v>48931</v>
      </c>
      <c r="CU27" s="37">
        <v>-5327</v>
      </c>
      <c r="CV27" s="37">
        <f t="shared" si="46"/>
        <v>48931</v>
      </c>
      <c r="CW27" s="38">
        <f t="shared" si="47"/>
        <v>-5327</v>
      </c>
      <c r="CX27" s="17">
        <f t="shared" si="27"/>
        <v>9945871</v>
      </c>
      <c r="CY27" s="17">
        <f t="shared" si="27"/>
        <v>11585505</v>
      </c>
      <c r="CZ27" s="17">
        <f t="shared" si="27"/>
        <v>9657847</v>
      </c>
      <c r="DA27" s="1487">
        <f t="shared" si="27"/>
        <v>11320572</v>
      </c>
    </row>
    <row r="28" spans="1:105" ht="14.25">
      <c r="A28" s="1475" t="s">
        <v>163</v>
      </c>
      <c r="B28" s="76"/>
      <c r="C28" s="15">
        <v>47519</v>
      </c>
      <c r="D28" s="16">
        <f t="shared" si="57"/>
        <v>0</v>
      </c>
      <c r="E28" s="19">
        <f t="shared" si="58"/>
        <v>47519</v>
      </c>
      <c r="F28" s="27"/>
      <c r="G28" s="24"/>
      <c r="H28" s="24">
        <f t="shared" si="52"/>
        <v>0</v>
      </c>
      <c r="I28" s="28">
        <f t="shared" si="53"/>
        <v>0</v>
      </c>
      <c r="J28" s="27"/>
      <c r="K28" s="24"/>
      <c r="L28" s="24">
        <f t="shared" si="30"/>
        <v>0</v>
      </c>
      <c r="M28" s="28">
        <f t="shared" si="31"/>
        <v>0</v>
      </c>
      <c r="N28" s="27"/>
      <c r="O28" s="24"/>
      <c r="P28" s="804">
        <f t="shared" si="4"/>
        <v>0</v>
      </c>
      <c r="Q28" s="805">
        <f t="shared" si="5"/>
        <v>0</v>
      </c>
      <c r="R28" s="27"/>
      <c r="S28" s="24"/>
      <c r="T28" s="804">
        <f t="shared" si="6"/>
        <v>0</v>
      </c>
      <c r="U28" s="805">
        <f t="shared" si="7"/>
        <v>0</v>
      </c>
      <c r="V28" s="27"/>
      <c r="W28" s="24"/>
      <c r="X28" s="24">
        <f t="shared" si="32"/>
        <v>0</v>
      </c>
      <c r="Y28" s="28">
        <f t="shared" si="33"/>
        <v>0</v>
      </c>
      <c r="Z28" s="27"/>
      <c r="AA28" s="24"/>
      <c r="AB28" s="804">
        <f t="shared" si="8"/>
        <v>0</v>
      </c>
      <c r="AC28" s="805">
        <f t="shared" si="9"/>
        <v>0</v>
      </c>
      <c r="AD28" s="27"/>
      <c r="AE28" s="24"/>
      <c r="AF28" s="804">
        <f t="shared" si="10"/>
        <v>0</v>
      </c>
      <c r="AG28" s="805">
        <f t="shared" si="11"/>
        <v>0</v>
      </c>
      <c r="AH28" s="27"/>
      <c r="AI28" s="24"/>
      <c r="AJ28" s="24">
        <f t="shared" si="54"/>
        <v>0</v>
      </c>
      <c r="AK28" s="28">
        <f t="shared" si="55"/>
        <v>0</v>
      </c>
      <c r="AL28" s="27"/>
      <c r="AM28" s="24"/>
      <c r="AN28" s="24">
        <f t="shared" si="34"/>
        <v>0</v>
      </c>
      <c r="AO28" s="28">
        <f t="shared" si="35"/>
        <v>0</v>
      </c>
      <c r="AP28" s="27">
        <v>122643</v>
      </c>
      <c r="AQ28" s="24">
        <v>116392</v>
      </c>
      <c r="AR28" s="804">
        <f t="shared" si="12"/>
        <v>122643</v>
      </c>
      <c r="AS28" s="805">
        <f t="shared" si="13"/>
        <v>116392</v>
      </c>
      <c r="AT28" s="27"/>
      <c r="AU28" s="24"/>
      <c r="AV28" s="803">
        <f t="shared" si="14"/>
        <v>0</v>
      </c>
      <c r="AW28" s="1245">
        <f t="shared" si="15"/>
        <v>0</v>
      </c>
      <c r="AX28" s="29">
        <v>11393</v>
      </c>
      <c r="AY28" s="30"/>
      <c r="AZ28" s="30">
        <f t="shared" si="36"/>
        <v>11393</v>
      </c>
      <c r="BA28" s="31">
        <f t="shared" si="37"/>
        <v>0</v>
      </c>
      <c r="BB28" s="27"/>
      <c r="BC28" s="24"/>
      <c r="BD28" s="804">
        <f t="shared" si="16"/>
        <v>0</v>
      </c>
      <c r="BE28" s="805">
        <f t="shared" si="17"/>
        <v>0</v>
      </c>
      <c r="BF28" s="27"/>
      <c r="BG28" s="24"/>
      <c r="BH28" s="24">
        <f t="shared" si="38"/>
        <v>0</v>
      </c>
      <c r="BI28" s="28">
        <f t="shared" si="39"/>
        <v>0</v>
      </c>
      <c r="BJ28" s="27">
        <v>83253</v>
      </c>
      <c r="BK28" s="24">
        <v>161053</v>
      </c>
      <c r="BL28" s="804">
        <f t="shared" si="18"/>
        <v>83253</v>
      </c>
      <c r="BM28" s="805">
        <f t="shared" si="19"/>
        <v>161053</v>
      </c>
      <c r="BN28" s="27">
        <v>19207</v>
      </c>
      <c r="BO28" s="24">
        <v>10579</v>
      </c>
      <c r="BP28" s="24"/>
      <c r="BQ28" s="28"/>
      <c r="BR28" s="27"/>
      <c r="BS28" s="24"/>
      <c r="BT28" s="24">
        <f t="shared" si="40"/>
        <v>0</v>
      </c>
      <c r="BU28" s="28">
        <f t="shared" si="41"/>
        <v>0</v>
      </c>
      <c r="BV28" s="294"/>
      <c r="BW28" s="24"/>
      <c r="BX28" s="24"/>
      <c r="BY28" s="28"/>
      <c r="BZ28" s="397"/>
      <c r="CA28" s="393"/>
      <c r="CB28" s="807">
        <f t="shared" si="22"/>
        <v>0</v>
      </c>
      <c r="CC28" s="808">
        <f t="shared" si="23"/>
        <v>0</v>
      </c>
      <c r="CD28" s="33"/>
      <c r="CE28" s="34"/>
      <c r="CF28" s="34">
        <f t="shared" si="42"/>
        <v>0</v>
      </c>
      <c r="CG28" s="35">
        <f t="shared" si="43"/>
        <v>0</v>
      </c>
      <c r="CH28" s="36"/>
      <c r="CI28" s="37"/>
      <c r="CJ28" s="804">
        <f t="shared" si="24"/>
        <v>0</v>
      </c>
      <c r="CK28" s="805">
        <f t="shared" si="25"/>
        <v>0</v>
      </c>
      <c r="CL28" s="27">
        <v>-49622</v>
      </c>
      <c r="CM28" s="24">
        <v>-47228</v>
      </c>
      <c r="CN28" s="24">
        <f t="shared" si="44"/>
        <v>-49622</v>
      </c>
      <c r="CO28" s="28">
        <f t="shared" si="45"/>
        <v>-47228</v>
      </c>
      <c r="CP28" s="18">
        <f t="shared" si="26"/>
        <v>186874</v>
      </c>
      <c r="CQ28" s="17">
        <f t="shared" si="26"/>
        <v>288315</v>
      </c>
      <c r="CR28" s="17">
        <f t="shared" si="26"/>
        <v>167667</v>
      </c>
      <c r="CS28" s="1487">
        <f t="shared" si="26"/>
        <v>277736</v>
      </c>
      <c r="CT28" s="306">
        <v>17098</v>
      </c>
      <c r="CU28" s="37"/>
      <c r="CV28" s="37">
        <f t="shared" si="46"/>
        <v>17098</v>
      </c>
      <c r="CW28" s="38">
        <f t="shared" si="47"/>
        <v>0</v>
      </c>
      <c r="CX28" s="17">
        <f t="shared" si="27"/>
        <v>203972</v>
      </c>
      <c r="CY28" s="17">
        <f t="shared" si="27"/>
        <v>288315</v>
      </c>
      <c r="CZ28" s="17">
        <f t="shared" si="27"/>
        <v>184765</v>
      </c>
      <c r="DA28" s="1487">
        <f t="shared" si="27"/>
        <v>277736</v>
      </c>
    </row>
    <row r="29" spans="1:105" ht="14.25">
      <c r="A29" s="1475" t="s">
        <v>452</v>
      </c>
      <c r="B29" s="76"/>
      <c r="C29" s="15"/>
      <c r="D29" s="16">
        <f t="shared" si="57"/>
        <v>0</v>
      </c>
      <c r="E29" s="19">
        <f t="shared" si="58"/>
        <v>0</v>
      </c>
      <c r="F29" s="27"/>
      <c r="G29" s="24"/>
      <c r="H29" s="24">
        <f t="shared" si="52"/>
        <v>0</v>
      </c>
      <c r="I29" s="28">
        <f t="shared" si="53"/>
        <v>0</v>
      </c>
      <c r="J29" s="27"/>
      <c r="K29" s="24"/>
      <c r="L29" s="24">
        <f t="shared" si="30"/>
        <v>0</v>
      </c>
      <c r="M29" s="28">
        <f t="shared" si="31"/>
        <v>0</v>
      </c>
      <c r="N29" s="27">
        <v>185062</v>
      </c>
      <c r="O29" s="24">
        <v>241254</v>
      </c>
      <c r="P29" s="804">
        <f t="shared" si="4"/>
        <v>185062</v>
      </c>
      <c r="Q29" s="805">
        <f t="shared" si="5"/>
        <v>241254</v>
      </c>
      <c r="R29" s="27"/>
      <c r="S29" s="24"/>
      <c r="T29" s="804">
        <f t="shared" si="6"/>
        <v>0</v>
      </c>
      <c r="U29" s="805">
        <f t="shared" si="7"/>
        <v>0</v>
      </c>
      <c r="V29" s="27"/>
      <c r="W29" s="24"/>
      <c r="X29" s="24">
        <f t="shared" si="32"/>
        <v>0</v>
      </c>
      <c r="Y29" s="28">
        <f t="shared" si="33"/>
        <v>0</v>
      </c>
      <c r="Z29" s="27"/>
      <c r="AA29" s="24"/>
      <c r="AB29" s="804">
        <f t="shared" si="8"/>
        <v>0</v>
      </c>
      <c r="AC29" s="805">
        <f t="shared" si="9"/>
        <v>0</v>
      </c>
      <c r="AD29" s="27"/>
      <c r="AE29" s="24"/>
      <c r="AF29" s="804">
        <f t="shared" si="10"/>
        <v>0</v>
      </c>
      <c r="AG29" s="805">
        <f t="shared" si="11"/>
        <v>0</v>
      </c>
      <c r="AH29" s="27"/>
      <c r="AI29" s="24"/>
      <c r="AJ29" s="24">
        <f t="shared" si="54"/>
        <v>0</v>
      </c>
      <c r="AK29" s="28">
        <f t="shared" si="55"/>
        <v>0</v>
      </c>
      <c r="AL29" s="27"/>
      <c r="AM29" s="24"/>
      <c r="AN29" s="24">
        <f t="shared" si="34"/>
        <v>0</v>
      </c>
      <c r="AO29" s="28">
        <f t="shared" si="35"/>
        <v>0</v>
      </c>
      <c r="AP29" s="27"/>
      <c r="AQ29" s="24"/>
      <c r="AR29" s="804">
        <f t="shared" si="12"/>
        <v>0</v>
      </c>
      <c r="AS29" s="805">
        <f t="shared" si="13"/>
        <v>0</v>
      </c>
      <c r="AT29" s="27">
        <v>-20447</v>
      </c>
      <c r="AU29" s="24">
        <v>-23549</v>
      </c>
      <c r="AV29" s="803">
        <f t="shared" si="14"/>
        <v>-20447</v>
      </c>
      <c r="AW29" s="1245">
        <f t="shared" si="15"/>
        <v>-23549</v>
      </c>
      <c r="AX29" s="29"/>
      <c r="AY29" s="30"/>
      <c r="AZ29" s="30">
        <f t="shared" si="36"/>
        <v>0</v>
      </c>
      <c r="BA29" s="31">
        <f t="shared" si="37"/>
        <v>0</v>
      </c>
      <c r="BB29" s="27"/>
      <c r="BC29" s="24"/>
      <c r="BD29" s="804">
        <f t="shared" si="16"/>
        <v>0</v>
      </c>
      <c r="BE29" s="805">
        <f t="shared" si="17"/>
        <v>0</v>
      </c>
      <c r="BF29" s="27">
        <v>67407</v>
      </c>
      <c r="BG29" s="24">
        <v>62392</v>
      </c>
      <c r="BH29" s="24">
        <f t="shared" si="38"/>
        <v>67407</v>
      </c>
      <c r="BI29" s="28">
        <f t="shared" si="39"/>
        <v>62392</v>
      </c>
      <c r="BJ29" s="27"/>
      <c r="BK29" s="24"/>
      <c r="BL29" s="804">
        <f t="shared" si="18"/>
        <v>0</v>
      </c>
      <c r="BM29" s="805">
        <f t="shared" si="19"/>
        <v>0</v>
      </c>
      <c r="BN29" s="27"/>
      <c r="BO29" s="24"/>
      <c r="BP29" s="24"/>
      <c r="BQ29" s="28"/>
      <c r="BR29" s="27"/>
      <c r="BS29" s="24"/>
      <c r="BT29" s="24">
        <f t="shared" si="40"/>
        <v>0</v>
      </c>
      <c r="BU29" s="28">
        <f t="shared" si="41"/>
        <v>0</v>
      </c>
      <c r="BV29" s="294"/>
      <c r="BW29" s="24"/>
      <c r="BX29" s="24"/>
      <c r="BY29" s="28"/>
      <c r="BZ29" s="397"/>
      <c r="CA29" s="393"/>
      <c r="CB29" s="807">
        <f t="shared" si="22"/>
        <v>0</v>
      </c>
      <c r="CC29" s="808">
        <f t="shared" si="23"/>
        <v>0</v>
      </c>
      <c r="CD29" s="33">
        <v>-5203</v>
      </c>
      <c r="CE29" s="34">
        <v>-675</v>
      </c>
      <c r="CF29" s="34">
        <f t="shared" si="42"/>
        <v>-5203</v>
      </c>
      <c r="CG29" s="35">
        <f t="shared" si="43"/>
        <v>-675</v>
      </c>
      <c r="CH29" s="36"/>
      <c r="CI29" s="37"/>
      <c r="CJ29" s="804">
        <f t="shared" si="24"/>
        <v>0</v>
      </c>
      <c r="CK29" s="805">
        <f t="shared" si="25"/>
        <v>0</v>
      </c>
      <c r="CL29" s="27"/>
      <c r="CM29" s="24"/>
      <c r="CN29" s="24">
        <f t="shared" si="44"/>
        <v>0</v>
      </c>
      <c r="CO29" s="28">
        <f t="shared" si="45"/>
        <v>0</v>
      </c>
      <c r="CP29" s="18"/>
      <c r="CQ29" s="17"/>
      <c r="CR29" s="17"/>
      <c r="CS29" s="1487"/>
      <c r="CT29" s="306"/>
      <c r="CU29" s="37"/>
      <c r="CV29" s="37">
        <f t="shared" si="46"/>
        <v>0</v>
      </c>
      <c r="CW29" s="38">
        <f t="shared" si="47"/>
        <v>0</v>
      </c>
      <c r="CX29" s="17"/>
      <c r="CY29" s="17"/>
      <c r="CZ29" s="17"/>
      <c r="DA29" s="1487"/>
    </row>
    <row r="30" spans="1:105" ht="14.25">
      <c r="A30" s="1475" t="s">
        <v>164</v>
      </c>
      <c r="B30" s="76"/>
      <c r="C30" s="15"/>
      <c r="D30" s="16">
        <f t="shared" si="57"/>
        <v>0</v>
      </c>
      <c r="E30" s="19">
        <f t="shared" si="58"/>
        <v>0</v>
      </c>
      <c r="F30" s="27"/>
      <c r="G30" s="24"/>
      <c r="H30" s="24">
        <f t="shared" si="52"/>
        <v>0</v>
      </c>
      <c r="I30" s="28">
        <f t="shared" si="53"/>
        <v>0</v>
      </c>
      <c r="J30" s="27"/>
      <c r="K30" s="24"/>
      <c r="L30" s="24">
        <f t="shared" si="30"/>
        <v>0</v>
      </c>
      <c r="M30" s="28">
        <f t="shared" si="31"/>
        <v>0</v>
      </c>
      <c r="N30" s="27"/>
      <c r="O30" s="24"/>
      <c r="P30" s="804">
        <f t="shared" si="4"/>
        <v>0</v>
      </c>
      <c r="Q30" s="805">
        <f t="shared" si="5"/>
        <v>0</v>
      </c>
      <c r="R30" s="27"/>
      <c r="S30" s="24"/>
      <c r="T30" s="804">
        <f t="shared" si="6"/>
        <v>0</v>
      </c>
      <c r="U30" s="805">
        <f t="shared" si="7"/>
        <v>0</v>
      </c>
      <c r="V30" s="27"/>
      <c r="W30" s="24"/>
      <c r="X30" s="24">
        <f t="shared" si="32"/>
        <v>0</v>
      </c>
      <c r="Y30" s="28">
        <f t="shared" si="33"/>
        <v>0</v>
      </c>
      <c r="Z30" s="27">
        <v>35471</v>
      </c>
      <c r="AA30" s="24">
        <v>-34901</v>
      </c>
      <c r="AB30" s="804">
        <f t="shared" si="8"/>
        <v>35471</v>
      </c>
      <c r="AC30" s="805">
        <f t="shared" si="9"/>
        <v>-34901</v>
      </c>
      <c r="AD30" s="27"/>
      <c r="AE30" s="24"/>
      <c r="AF30" s="804">
        <f t="shared" si="10"/>
        <v>0</v>
      </c>
      <c r="AG30" s="805">
        <f t="shared" si="11"/>
        <v>0</v>
      </c>
      <c r="AH30" s="27"/>
      <c r="AI30" s="24"/>
      <c r="AJ30" s="24">
        <f t="shared" si="54"/>
        <v>0</v>
      </c>
      <c r="AK30" s="28">
        <f t="shared" si="55"/>
        <v>0</v>
      </c>
      <c r="AL30" s="27"/>
      <c r="AM30" s="24"/>
      <c r="AN30" s="24">
        <f t="shared" si="34"/>
        <v>0</v>
      </c>
      <c r="AO30" s="28">
        <f t="shared" si="35"/>
        <v>0</v>
      </c>
      <c r="AP30" s="27"/>
      <c r="AQ30" s="24"/>
      <c r="AR30" s="804">
        <f t="shared" si="12"/>
        <v>0</v>
      </c>
      <c r="AS30" s="805">
        <f t="shared" si="13"/>
        <v>0</v>
      </c>
      <c r="AT30" s="27"/>
      <c r="AU30" s="24"/>
      <c r="AV30" s="803">
        <f t="shared" si="14"/>
        <v>0</v>
      </c>
      <c r="AW30" s="1245">
        <f t="shared" si="15"/>
        <v>0</v>
      </c>
      <c r="AX30" s="29"/>
      <c r="AY30" s="30"/>
      <c r="AZ30" s="30">
        <f t="shared" si="36"/>
        <v>0</v>
      </c>
      <c r="BA30" s="31">
        <f t="shared" si="37"/>
        <v>0</v>
      </c>
      <c r="BB30" s="27"/>
      <c r="BC30" s="24"/>
      <c r="BD30" s="804">
        <f t="shared" si="16"/>
        <v>0</v>
      </c>
      <c r="BE30" s="805">
        <f t="shared" si="17"/>
        <v>0</v>
      </c>
      <c r="BF30" s="27"/>
      <c r="BG30" s="24"/>
      <c r="BH30" s="24">
        <f t="shared" si="38"/>
        <v>0</v>
      </c>
      <c r="BI30" s="28">
        <f t="shared" si="39"/>
        <v>0</v>
      </c>
      <c r="BJ30" s="27"/>
      <c r="BK30" s="24"/>
      <c r="BL30" s="804">
        <f t="shared" si="18"/>
        <v>0</v>
      </c>
      <c r="BM30" s="805">
        <f t="shared" si="19"/>
        <v>0</v>
      </c>
      <c r="BN30" s="27"/>
      <c r="BO30" s="24"/>
      <c r="BP30" s="24"/>
      <c r="BQ30" s="28"/>
      <c r="BR30" s="27"/>
      <c r="BS30" s="24"/>
      <c r="BT30" s="24">
        <f t="shared" si="40"/>
        <v>0</v>
      </c>
      <c r="BU30" s="28">
        <f t="shared" si="41"/>
        <v>0</v>
      </c>
      <c r="BV30" s="294"/>
      <c r="BW30" s="24"/>
      <c r="BX30" s="24"/>
      <c r="BY30" s="28"/>
      <c r="BZ30" s="397"/>
      <c r="CA30" s="393"/>
      <c r="CB30" s="807">
        <f t="shared" si="22"/>
        <v>0</v>
      </c>
      <c r="CC30" s="808">
        <f t="shared" si="23"/>
        <v>0</v>
      </c>
      <c r="CD30" s="33"/>
      <c r="CE30" s="34"/>
      <c r="CF30" s="34">
        <f t="shared" si="42"/>
        <v>0</v>
      </c>
      <c r="CG30" s="35">
        <f t="shared" si="43"/>
        <v>0</v>
      </c>
      <c r="CH30" s="36"/>
      <c r="CI30" s="37"/>
      <c r="CJ30" s="804">
        <f t="shared" si="24"/>
        <v>0</v>
      </c>
      <c r="CK30" s="805">
        <f t="shared" si="25"/>
        <v>0</v>
      </c>
      <c r="CL30" s="27"/>
      <c r="CM30" s="24"/>
      <c r="CN30" s="24">
        <f t="shared" si="44"/>
        <v>0</v>
      </c>
      <c r="CO30" s="28">
        <f t="shared" si="45"/>
        <v>0</v>
      </c>
      <c r="CP30" s="18">
        <f t="shared" si="26"/>
        <v>35471</v>
      </c>
      <c r="CQ30" s="17">
        <f t="shared" si="26"/>
        <v>-34901</v>
      </c>
      <c r="CR30" s="17">
        <f t="shared" si="26"/>
        <v>35471</v>
      </c>
      <c r="CS30" s="1487">
        <f t="shared" si="26"/>
        <v>-34901</v>
      </c>
      <c r="CT30" s="306"/>
      <c r="CU30" s="37"/>
      <c r="CV30" s="37">
        <f t="shared" si="46"/>
        <v>0</v>
      </c>
      <c r="CW30" s="38">
        <f t="shared" si="47"/>
        <v>0</v>
      </c>
      <c r="CX30" s="17">
        <f t="shared" si="27"/>
        <v>35471</v>
      </c>
      <c r="CY30" s="17">
        <f t="shared" si="27"/>
        <v>-34901</v>
      </c>
      <c r="CZ30" s="17">
        <f t="shared" si="27"/>
        <v>35471</v>
      </c>
      <c r="DA30" s="1487">
        <f t="shared" si="27"/>
        <v>-34901</v>
      </c>
    </row>
    <row r="31" spans="1:105" ht="14.25">
      <c r="A31" s="1475" t="s">
        <v>165</v>
      </c>
      <c r="B31" s="25"/>
      <c r="C31" s="15"/>
      <c r="D31" s="16">
        <f t="shared" si="57"/>
        <v>0</v>
      </c>
      <c r="E31" s="19">
        <f t="shared" si="58"/>
        <v>0</v>
      </c>
      <c r="F31" s="27"/>
      <c r="G31" s="24"/>
      <c r="H31" s="24">
        <f t="shared" si="52"/>
        <v>0</v>
      </c>
      <c r="I31" s="28">
        <f t="shared" si="53"/>
        <v>0</v>
      </c>
      <c r="J31" s="27"/>
      <c r="K31" s="24"/>
      <c r="L31" s="24">
        <f t="shared" si="30"/>
        <v>0</v>
      </c>
      <c r="M31" s="28">
        <f t="shared" si="31"/>
        <v>0</v>
      </c>
      <c r="N31" s="27"/>
      <c r="O31" s="24"/>
      <c r="P31" s="804">
        <f t="shared" si="4"/>
        <v>0</v>
      </c>
      <c r="Q31" s="805">
        <f t="shared" si="5"/>
        <v>0</v>
      </c>
      <c r="R31" s="27"/>
      <c r="S31" s="24"/>
      <c r="T31" s="804">
        <f t="shared" si="6"/>
        <v>0</v>
      </c>
      <c r="U31" s="805">
        <f t="shared" si="7"/>
        <v>0</v>
      </c>
      <c r="V31" s="27"/>
      <c r="W31" s="24"/>
      <c r="X31" s="24">
        <f t="shared" si="32"/>
        <v>0</v>
      </c>
      <c r="Y31" s="28">
        <f t="shared" si="33"/>
        <v>0</v>
      </c>
      <c r="Z31" s="27"/>
      <c r="AA31" s="24"/>
      <c r="AB31" s="804">
        <f t="shared" si="8"/>
        <v>0</v>
      </c>
      <c r="AC31" s="805">
        <f t="shared" si="9"/>
        <v>0</v>
      </c>
      <c r="AD31" s="27"/>
      <c r="AE31" s="24"/>
      <c r="AF31" s="804">
        <f t="shared" si="10"/>
        <v>0</v>
      </c>
      <c r="AG31" s="805">
        <f t="shared" si="11"/>
        <v>0</v>
      </c>
      <c r="AH31" s="27"/>
      <c r="AI31" s="24"/>
      <c r="AJ31" s="24">
        <f t="shared" si="54"/>
        <v>0</v>
      </c>
      <c r="AK31" s="28">
        <f t="shared" si="55"/>
        <v>0</v>
      </c>
      <c r="AL31" s="27"/>
      <c r="AM31" s="24"/>
      <c r="AN31" s="24">
        <f t="shared" si="34"/>
        <v>0</v>
      </c>
      <c r="AO31" s="28">
        <f t="shared" si="35"/>
        <v>0</v>
      </c>
      <c r="AP31" s="27"/>
      <c r="AQ31" s="24"/>
      <c r="AR31" s="804">
        <f t="shared" si="12"/>
        <v>0</v>
      </c>
      <c r="AS31" s="805">
        <f t="shared" si="13"/>
        <v>0</v>
      </c>
      <c r="AT31" s="27"/>
      <c r="AU31" s="24"/>
      <c r="AV31" s="803">
        <f t="shared" si="14"/>
        <v>0</v>
      </c>
      <c r="AW31" s="1245">
        <f t="shared" si="15"/>
        <v>0</v>
      </c>
      <c r="AX31" s="29">
        <v>-11393</v>
      </c>
      <c r="AY31" s="30"/>
      <c r="AZ31" s="30">
        <f t="shared" si="36"/>
        <v>-11393</v>
      </c>
      <c r="BA31" s="31">
        <f t="shared" si="37"/>
        <v>0</v>
      </c>
      <c r="BB31" s="27"/>
      <c r="BC31" s="24"/>
      <c r="BD31" s="804">
        <f t="shared" si="16"/>
        <v>0</v>
      </c>
      <c r="BE31" s="805">
        <f t="shared" si="17"/>
        <v>0</v>
      </c>
      <c r="BF31" s="27"/>
      <c r="BG31" s="24"/>
      <c r="BH31" s="24">
        <f t="shared" si="38"/>
        <v>0</v>
      </c>
      <c r="BI31" s="28">
        <f t="shared" si="39"/>
        <v>0</v>
      </c>
      <c r="BJ31" s="27"/>
      <c r="BK31" s="24"/>
      <c r="BL31" s="804">
        <f t="shared" si="18"/>
        <v>0</v>
      </c>
      <c r="BM31" s="805">
        <f t="shared" si="19"/>
        <v>0</v>
      </c>
      <c r="BN31" s="27"/>
      <c r="BO31" s="24"/>
      <c r="BP31" s="24"/>
      <c r="BQ31" s="28"/>
      <c r="BR31" s="27"/>
      <c r="BS31" s="24"/>
      <c r="BT31" s="24">
        <f t="shared" si="40"/>
        <v>0</v>
      </c>
      <c r="BU31" s="28">
        <f t="shared" si="41"/>
        <v>0</v>
      </c>
      <c r="BV31" s="294"/>
      <c r="BW31" s="24"/>
      <c r="BX31" s="24"/>
      <c r="BY31" s="28"/>
      <c r="BZ31" s="399">
        <v>59396</v>
      </c>
      <c r="CA31" s="394">
        <v>89381</v>
      </c>
      <c r="CB31" s="807">
        <f t="shared" si="22"/>
        <v>59396</v>
      </c>
      <c r="CC31" s="808">
        <f t="shared" si="23"/>
        <v>89381</v>
      </c>
      <c r="CD31" s="33"/>
      <c r="CE31" s="34"/>
      <c r="CF31" s="34">
        <f t="shared" si="42"/>
        <v>0</v>
      </c>
      <c r="CG31" s="35">
        <f t="shared" si="43"/>
        <v>0</v>
      </c>
      <c r="CH31" s="36"/>
      <c r="CI31" s="37"/>
      <c r="CJ31" s="804">
        <f t="shared" si="24"/>
        <v>0</v>
      </c>
      <c r="CK31" s="805">
        <f t="shared" si="25"/>
        <v>0</v>
      </c>
      <c r="CL31" s="27"/>
      <c r="CM31" s="24"/>
      <c r="CN31" s="24">
        <f t="shared" si="44"/>
        <v>0</v>
      </c>
      <c r="CO31" s="28">
        <f t="shared" si="45"/>
        <v>0</v>
      </c>
      <c r="CP31" s="18">
        <f t="shared" si="26"/>
        <v>48003</v>
      </c>
      <c r="CQ31" s="17">
        <f t="shared" si="26"/>
        <v>89381</v>
      </c>
      <c r="CR31" s="17">
        <f t="shared" si="26"/>
        <v>48003</v>
      </c>
      <c r="CS31" s="1487">
        <f t="shared" si="26"/>
        <v>89381</v>
      </c>
      <c r="CT31" s="306"/>
      <c r="CU31" s="37"/>
      <c r="CV31" s="37">
        <f t="shared" si="46"/>
        <v>0</v>
      </c>
      <c r="CW31" s="38">
        <f t="shared" si="47"/>
        <v>0</v>
      </c>
      <c r="CX31" s="17">
        <f t="shared" si="27"/>
        <v>48003</v>
      </c>
      <c r="CY31" s="17">
        <f t="shared" si="27"/>
        <v>89381</v>
      </c>
      <c r="CZ31" s="17">
        <f t="shared" si="27"/>
        <v>48003</v>
      </c>
      <c r="DA31" s="1487">
        <f t="shared" si="27"/>
        <v>89381</v>
      </c>
    </row>
    <row r="32" spans="1:105" ht="14.25">
      <c r="A32" s="1475" t="s">
        <v>166</v>
      </c>
      <c r="B32" s="76">
        <v>216967</v>
      </c>
      <c r="C32" s="15">
        <v>200439</v>
      </c>
      <c r="D32" s="16">
        <f t="shared" si="57"/>
        <v>216967</v>
      </c>
      <c r="E32" s="19">
        <f t="shared" si="58"/>
        <v>200439</v>
      </c>
      <c r="F32" s="27">
        <v>-265932</v>
      </c>
      <c r="G32" s="24">
        <v>-313169</v>
      </c>
      <c r="H32" s="24">
        <f t="shared" si="52"/>
        <v>-265932</v>
      </c>
      <c r="I32" s="28">
        <f t="shared" si="53"/>
        <v>-313169</v>
      </c>
      <c r="J32" s="27">
        <v>-13934</v>
      </c>
      <c r="K32" s="24">
        <v>-20822</v>
      </c>
      <c r="L32" s="24">
        <f t="shared" si="30"/>
        <v>-13934</v>
      </c>
      <c r="M32" s="28">
        <f t="shared" si="31"/>
        <v>-20822</v>
      </c>
      <c r="N32" s="27">
        <v>617142</v>
      </c>
      <c r="O32" s="24">
        <v>1461906</v>
      </c>
      <c r="P32" s="804">
        <f t="shared" si="4"/>
        <v>617142</v>
      </c>
      <c r="Q32" s="805">
        <f t="shared" si="5"/>
        <v>1461906</v>
      </c>
      <c r="R32" s="27">
        <f>R27</f>
        <v>-345423</v>
      </c>
      <c r="S32" s="27">
        <f>S27</f>
        <v>-142139</v>
      </c>
      <c r="T32" s="804">
        <f t="shared" si="6"/>
        <v>-345423</v>
      </c>
      <c r="U32" s="805">
        <f t="shared" si="7"/>
        <v>-142139</v>
      </c>
      <c r="V32" s="27">
        <v>260865</v>
      </c>
      <c r="W32" s="27">
        <v>130250</v>
      </c>
      <c r="X32" s="24">
        <f t="shared" si="32"/>
        <v>260865</v>
      </c>
      <c r="Y32" s="28">
        <f t="shared" si="33"/>
        <v>130250</v>
      </c>
      <c r="Z32" s="27">
        <v>-237391</v>
      </c>
      <c r="AA32" s="24">
        <v>193751</v>
      </c>
      <c r="AB32" s="804">
        <f t="shared" si="8"/>
        <v>-237391</v>
      </c>
      <c r="AC32" s="805">
        <f t="shared" si="9"/>
        <v>193751</v>
      </c>
      <c r="AD32" s="27">
        <f>AD27</f>
        <v>-730893</v>
      </c>
      <c r="AE32" s="24">
        <f>AE27</f>
        <v>-682365</v>
      </c>
      <c r="AF32" s="804">
        <f t="shared" si="10"/>
        <v>-730893</v>
      </c>
      <c r="AG32" s="805">
        <f t="shared" si="11"/>
        <v>-682365</v>
      </c>
      <c r="AH32" s="27">
        <f>AH27</f>
        <v>-604829</v>
      </c>
      <c r="AI32" s="24">
        <f>AI27</f>
        <v>-274577</v>
      </c>
      <c r="AJ32" s="24">
        <f t="shared" si="54"/>
        <v>-604829</v>
      </c>
      <c r="AK32" s="28">
        <f t="shared" si="55"/>
        <v>-274577</v>
      </c>
      <c r="AL32" s="27">
        <f>AL27</f>
        <v>-556492</v>
      </c>
      <c r="AM32" s="24">
        <f>AM27</f>
        <v>-567742</v>
      </c>
      <c r="AN32" s="24">
        <f t="shared" si="34"/>
        <v>-556492</v>
      </c>
      <c r="AO32" s="28">
        <f t="shared" si="35"/>
        <v>-567742</v>
      </c>
      <c r="AP32" s="27">
        <v>4246174</v>
      </c>
      <c r="AQ32" s="24">
        <v>3801715</v>
      </c>
      <c r="AR32" s="804">
        <f t="shared" si="12"/>
        <v>4246174</v>
      </c>
      <c r="AS32" s="805">
        <f t="shared" si="13"/>
        <v>3801715</v>
      </c>
      <c r="AT32" s="27">
        <v>2846414</v>
      </c>
      <c r="AU32" s="24">
        <v>2812744</v>
      </c>
      <c r="AV32" s="803">
        <f t="shared" si="14"/>
        <v>2846414</v>
      </c>
      <c r="AW32" s="1245">
        <f t="shared" si="15"/>
        <v>2812744</v>
      </c>
      <c r="AX32" s="29">
        <v>84870</v>
      </c>
      <c r="AY32" s="30">
        <v>96250</v>
      </c>
      <c r="AZ32" s="30">
        <f t="shared" si="36"/>
        <v>84870</v>
      </c>
      <c r="BA32" s="31">
        <f t="shared" si="37"/>
        <v>96250</v>
      </c>
      <c r="BB32" s="27">
        <v>-607397</v>
      </c>
      <c r="BC32" s="24">
        <v>-94185</v>
      </c>
      <c r="BD32" s="804">
        <f t="shared" si="16"/>
        <v>-607397</v>
      </c>
      <c r="BE32" s="805">
        <f t="shared" si="17"/>
        <v>-94185</v>
      </c>
      <c r="BF32" s="27">
        <v>374054</v>
      </c>
      <c r="BG32" s="24">
        <v>315484</v>
      </c>
      <c r="BH32" s="24">
        <f t="shared" si="38"/>
        <v>374054</v>
      </c>
      <c r="BI32" s="28">
        <f t="shared" si="39"/>
        <v>315484</v>
      </c>
      <c r="BJ32" s="27">
        <v>681777</v>
      </c>
      <c r="BK32" s="24">
        <v>752847</v>
      </c>
      <c r="BL32" s="804">
        <f t="shared" si="18"/>
        <v>681777</v>
      </c>
      <c r="BM32" s="805">
        <f t="shared" si="19"/>
        <v>752847</v>
      </c>
      <c r="BN32" s="27">
        <v>268817</v>
      </c>
      <c r="BO32" s="24">
        <v>254354</v>
      </c>
      <c r="BP32" s="24"/>
      <c r="BQ32" s="28"/>
      <c r="BR32" s="27">
        <v>80259</v>
      </c>
      <c r="BS32" s="24">
        <v>3033</v>
      </c>
      <c r="BT32" s="24">
        <f t="shared" si="40"/>
        <v>80259</v>
      </c>
      <c r="BU32" s="28">
        <f t="shared" si="41"/>
        <v>3033</v>
      </c>
      <c r="BV32" s="294"/>
      <c r="BW32" s="24"/>
      <c r="BX32" s="24"/>
      <c r="BY32" s="28"/>
      <c r="BZ32" s="399">
        <v>3719010</v>
      </c>
      <c r="CA32" s="394">
        <v>3543129</v>
      </c>
      <c r="CB32" s="807">
        <f t="shared" si="22"/>
        <v>3719010</v>
      </c>
      <c r="CC32" s="808">
        <f t="shared" si="23"/>
        <v>3543129</v>
      </c>
      <c r="CD32" s="33">
        <v>-30856</v>
      </c>
      <c r="CE32" s="34">
        <v>-3958</v>
      </c>
      <c r="CF32" s="34">
        <f t="shared" si="42"/>
        <v>-30856</v>
      </c>
      <c r="CG32" s="35">
        <f t="shared" si="43"/>
        <v>-3958</v>
      </c>
      <c r="CH32" s="36">
        <f>CH27</f>
        <v>-128934</v>
      </c>
      <c r="CI32" s="36">
        <f>CI27</f>
        <v>10925</v>
      </c>
      <c r="CJ32" s="804">
        <f t="shared" si="24"/>
        <v>-128934</v>
      </c>
      <c r="CK32" s="805">
        <f t="shared" si="25"/>
        <v>10925</v>
      </c>
      <c r="CL32" s="27">
        <v>-543691</v>
      </c>
      <c r="CM32" s="24">
        <v>-720611</v>
      </c>
      <c r="CN32" s="24">
        <f t="shared" si="44"/>
        <v>-543691</v>
      </c>
      <c r="CO32" s="28">
        <f t="shared" si="45"/>
        <v>-720611</v>
      </c>
      <c r="CP32" s="18">
        <f t="shared" si="26"/>
        <v>9330577</v>
      </c>
      <c r="CQ32" s="17">
        <f t="shared" si="26"/>
        <v>10757259</v>
      </c>
      <c r="CR32" s="17">
        <f t="shared" si="26"/>
        <v>9061760</v>
      </c>
      <c r="CS32" s="1487">
        <f t="shared" si="26"/>
        <v>10502905</v>
      </c>
      <c r="CT32" s="306">
        <v>31833</v>
      </c>
      <c r="CU32" s="37">
        <v>-5327</v>
      </c>
      <c r="CV32" s="37">
        <f t="shared" si="46"/>
        <v>31833</v>
      </c>
      <c r="CW32" s="38">
        <f t="shared" si="47"/>
        <v>-5327</v>
      </c>
      <c r="CX32" s="17">
        <f t="shared" si="27"/>
        <v>9362410</v>
      </c>
      <c r="CY32" s="17">
        <f t="shared" si="27"/>
        <v>10751932</v>
      </c>
      <c r="CZ32" s="17">
        <f t="shared" si="27"/>
        <v>9093593</v>
      </c>
      <c r="DA32" s="1487">
        <f t="shared" si="27"/>
        <v>10497578</v>
      </c>
    </row>
    <row r="33" spans="1:105" ht="14.25">
      <c r="A33" s="1476" t="s">
        <v>167</v>
      </c>
      <c r="B33" s="17"/>
      <c r="C33" s="16"/>
      <c r="D33" s="16">
        <f t="shared" si="57"/>
        <v>0</v>
      </c>
      <c r="E33" s="19">
        <f t="shared" si="58"/>
        <v>0</v>
      </c>
      <c r="F33" s="46"/>
      <c r="G33" s="43"/>
      <c r="H33" s="24">
        <f t="shared" si="52"/>
        <v>0</v>
      </c>
      <c r="I33" s="28">
        <f t="shared" si="53"/>
        <v>0</v>
      </c>
      <c r="J33" s="46"/>
      <c r="K33" s="43"/>
      <c r="L33" s="24">
        <f t="shared" si="30"/>
        <v>0</v>
      </c>
      <c r="M33" s="28">
        <f t="shared" si="31"/>
        <v>0</v>
      </c>
      <c r="N33" s="46"/>
      <c r="O33" s="43"/>
      <c r="P33" s="804">
        <f t="shared" si="4"/>
        <v>0</v>
      </c>
      <c r="Q33" s="805">
        <f t="shared" si="5"/>
        <v>0</v>
      </c>
      <c r="R33" s="46"/>
      <c r="S33" s="43"/>
      <c r="T33" s="804">
        <f t="shared" si="6"/>
        <v>0</v>
      </c>
      <c r="U33" s="805">
        <f t="shared" si="7"/>
        <v>0</v>
      </c>
      <c r="V33" s="46"/>
      <c r="W33" s="43"/>
      <c r="X33" s="24">
        <f t="shared" si="32"/>
        <v>0</v>
      </c>
      <c r="Y33" s="28">
        <f t="shared" si="33"/>
        <v>0</v>
      </c>
      <c r="Z33" s="46"/>
      <c r="AA33" s="43"/>
      <c r="AB33" s="804">
        <f t="shared" si="8"/>
        <v>0</v>
      </c>
      <c r="AC33" s="805">
        <f t="shared" si="9"/>
        <v>0</v>
      </c>
      <c r="AD33" s="410"/>
      <c r="AE33" s="410"/>
      <c r="AF33" s="804">
        <f t="shared" si="10"/>
        <v>0</v>
      </c>
      <c r="AG33" s="805">
        <f t="shared" si="11"/>
        <v>0</v>
      </c>
      <c r="AH33" s="46"/>
      <c r="AI33" s="43"/>
      <c r="AJ33" s="24">
        <f t="shared" si="54"/>
        <v>0</v>
      </c>
      <c r="AK33" s="28">
        <f t="shared" si="55"/>
        <v>0</v>
      </c>
      <c r="AL33" s="46"/>
      <c r="AM33" s="43"/>
      <c r="AN33" s="24">
        <f t="shared" si="34"/>
        <v>0</v>
      </c>
      <c r="AO33" s="28">
        <f t="shared" si="35"/>
        <v>0</v>
      </c>
      <c r="AP33" s="46"/>
      <c r="AQ33" s="43"/>
      <c r="AR33" s="804">
        <f t="shared" si="12"/>
        <v>0</v>
      </c>
      <c r="AS33" s="805">
        <f t="shared" si="13"/>
        <v>0</v>
      </c>
      <c r="AT33" s="46"/>
      <c r="AU33" s="43"/>
      <c r="AV33" s="803">
        <f t="shared" si="14"/>
        <v>0</v>
      </c>
      <c r="AW33" s="1245">
        <f t="shared" si="15"/>
        <v>0</v>
      </c>
      <c r="AX33" s="29"/>
      <c r="AY33" s="30"/>
      <c r="AZ33" s="30">
        <f t="shared" si="36"/>
        <v>0</v>
      </c>
      <c r="BA33" s="31">
        <f t="shared" si="37"/>
        <v>0</v>
      </c>
      <c r="BB33" s="46"/>
      <c r="BC33" s="43"/>
      <c r="BD33" s="804">
        <f t="shared" si="16"/>
        <v>0</v>
      </c>
      <c r="BE33" s="805">
        <f t="shared" si="17"/>
        <v>0</v>
      </c>
      <c r="BF33" s="48"/>
      <c r="BG33" s="49"/>
      <c r="BH33" s="24">
        <f t="shared" si="38"/>
        <v>0</v>
      </c>
      <c r="BI33" s="28">
        <f t="shared" si="39"/>
        <v>0</v>
      </c>
      <c r="BJ33" s="46"/>
      <c r="BK33" s="43"/>
      <c r="BL33" s="804">
        <f t="shared" si="18"/>
        <v>0</v>
      </c>
      <c r="BM33" s="805">
        <f t="shared" si="19"/>
        <v>0</v>
      </c>
      <c r="BN33" s="46"/>
      <c r="BO33" s="43"/>
      <c r="BP33" s="43"/>
      <c r="BQ33" s="47"/>
      <c r="BR33" s="46"/>
      <c r="BS33" s="43"/>
      <c r="BT33" s="24">
        <f t="shared" si="40"/>
        <v>0</v>
      </c>
      <c r="BU33" s="28">
        <f t="shared" si="41"/>
        <v>0</v>
      </c>
      <c r="BV33" s="294"/>
      <c r="BW33" s="24"/>
      <c r="BX33" s="24"/>
      <c r="BY33" s="28"/>
      <c r="BZ33" s="397"/>
      <c r="CA33" s="393"/>
      <c r="CB33" s="807">
        <f t="shared" si="22"/>
        <v>0</v>
      </c>
      <c r="CC33" s="808">
        <f t="shared" si="23"/>
        <v>0</v>
      </c>
      <c r="CD33" s="33"/>
      <c r="CE33" s="34"/>
      <c r="CF33" s="34">
        <f t="shared" si="42"/>
        <v>0</v>
      </c>
      <c r="CG33" s="35">
        <f t="shared" si="43"/>
        <v>0</v>
      </c>
      <c r="CH33" s="36"/>
      <c r="CI33" s="37"/>
      <c r="CJ33" s="804">
        <f t="shared" si="24"/>
        <v>0</v>
      </c>
      <c r="CK33" s="805">
        <f t="shared" si="25"/>
        <v>0</v>
      </c>
      <c r="CL33" s="46"/>
      <c r="CM33" s="43"/>
      <c r="CN33" s="24">
        <f t="shared" si="44"/>
        <v>0</v>
      </c>
      <c r="CO33" s="28">
        <f t="shared" si="45"/>
        <v>0</v>
      </c>
      <c r="CP33" s="18">
        <f t="shared" si="26"/>
        <v>0</v>
      </c>
      <c r="CQ33" s="17">
        <f t="shared" si="26"/>
        <v>0</v>
      </c>
      <c r="CR33" s="17">
        <f t="shared" si="26"/>
        <v>0</v>
      </c>
      <c r="CS33" s="1487">
        <f t="shared" si="26"/>
        <v>0</v>
      </c>
      <c r="CT33" s="44"/>
      <c r="CU33" s="43"/>
      <c r="CV33" s="37">
        <f t="shared" si="46"/>
        <v>0</v>
      </c>
      <c r="CW33" s="38">
        <f t="shared" si="47"/>
        <v>0</v>
      </c>
      <c r="CX33" s="17">
        <f t="shared" si="27"/>
        <v>0</v>
      </c>
      <c r="CY33" s="17">
        <f t="shared" si="27"/>
        <v>0</v>
      </c>
      <c r="CZ33" s="17">
        <f t="shared" si="27"/>
        <v>0</v>
      </c>
      <c r="DA33" s="1487">
        <f t="shared" si="27"/>
        <v>0</v>
      </c>
    </row>
    <row r="34" spans="1:105" ht="28.5">
      <c r="A34" s="1475" t="s">
        <v>168</v>
      </c>
      <c r="B34" s="76">
        <v>-1129634</v>
      </c>
      <c r="C34" s="15">
        <v>-2385817</v>
      </c>
      <c r="D34" s="16">
        <f t="shared" si="57"/>
        <v>-1129634</v>
      </c>
      <c r="E34" s="19">
        <f t="shared" si="58"/>
        <v>-2385817</v>
      </c>
      <c r="F34" s="27">
        <v>-5370742</v>
      </c>
      <c r="G34" s="24">
        <v>-4584076</v>
      </c>
      <c r="H34" s="24">
        <f t="shared" si="52"/>
        <v>-5370742</v>
      </c>
      <c r="I34" s="28">
        <f t="shared" si="53"/>
        <v>-4584076</v>
      </c>
      <c r="J34" s="27">
        <v>-12973568</v>
      </c>
      <c r="K34" s="24">
        <v>-13505451</v>
      </c>
      <c r="L34" s="24">
        <f t="shared" si="30"/>
        <v>-12973568</v>
      </c>
      <c r="M34" s="28">
        <f t="shared" si="31"/>
        <v>-13505451</v>
      </c>
      <c r="N34" s="27">
        <v>83393632</v>
      </c>
      <c r="O34" s="24">
        <v>79646820</v>
      </c>
      <c r="P34" s="804">
        <f t="shared" si="4"/>
        <v>83393632</v>
      </c>
      <c r="Q34" s="805">
        <f t="shared" si="5"/>
        <v>79646820</v>
      </c>
      <c r="R34" s="27">
        <v>-24928221</v>
      </c>
      <c r="S34" s="24">
        <v>-24529658</v>
      </c>
      <c r="T34" s="804">
        <f t="shared" si="6"/>
        <v>-24928221</v>
      </c>
      <c r="U34" s="805">
        <f t="shared" si="7"/>
        <v>-24529658</v>
      </c>
      <c r="V34" s="27">
        <v>54208</v>
      </c>
      <c r="W34" s="24">
        <v>-1597758</v>
      </c>
      <c r="X34" s="24">
        <f t="shared" si="32"/>
        <v>54208</v>
      </c>
      <c r="Y34" s="28">
        <f t="shared" si="33"/>
        <v>-1597758</v>
      </c>
      <c r="Z34" s="27">
        <v>-1628700</v>
      </c>
      <c r="AA34" s="24">
        <v>-2480527</v>
      </c>
      <c r="AB34" s="804">
        <f t="shared" si="8"/>
        <v>-1628700</v>
      </c>
      <c r="AC34" s="805">
        <f t="shared" si="9"/>
        <v>-2480527</v>
      </c>
      <c r="AD34" s="46">
        <v>-11081431</v>
      </c>
      <c r="AE34" s="43">
        <v>-8375165</v>
      </c>
      <c r="AF34" s="804">
        <f t="shared" si="10"/>
        <v>-11081431</v>
      </c>
      <c r="AG34" s="805">
        <f t="shared" si="11"/>
        <v>-8375165</v>
      </c>
      <c r="AH34" s="27">
        <v>-7258469</v>
      </c>
      <c r="AI34" s="24">
        <v>-7408329</v>
      </c>
      <c r="AJ34" s="24">
        <f t="shared" si="54"/>
        <v>-7258469</v>
      </c>
      <c r="AK34" s="28">
        <f t="shared" si="55"/>
        <v>-7408329</v>
      </c>
      <c r="AL34" s="27">
        <v>-16633363</v>
      </c>
      <c r="AM34" s="24">
        <v>-14682622</v>
      </c>
      <c r="AN34" s="24">
        <f t="shared" si="34"/>
        <v>-16633363</v>
      </c>
      <c r="AO34" s="28">
        <f t="shared" si="35"/>
        <v>-14682622</v>
      </c>
      <c r="AP34" s="27">
        <v>32740263</v>
      </c>
      <c r="AQ34" s="24">
        <v>23936526</v>
      </c>
      <c r="AR34" s="804">
        <f t="shared" si="12"/>
        <v>32740263</v>
      </c>
      <c r="AS34" s="805">
        <f t="shared" si="13"/>
        <v>23936526</v>
      </c>
      <c r="AT34" s="27">
        <v>19842696</v>
      </c>
      <c r="AU34" s="24">
        <v>16933615</v>
      </c>
      <c r="AV34" s="803">
        <f t="shared" si="14"/>
        <v>19842696</v>
      </c>
      <c r="AW34" s="1245">
        <f t="shared" si="15"/>
        <v>16933615</v>
      </c>
      <c r="AX34" s="36">
        <v>1126215</v>
      </c>
      <c r="AY34" s="37">
        <v>-201512</v>
      </c>
      <c r="AZ34" s="30">
        <f t="shared" si="36"/>
        <v>1126215</v>
      </c>
      <c r="BA34" s="31">
        <f t="shared" si="37"/>
        <v>-201512</v>
      </c>
      <c r="BB34" s="27">
        <v>-1018662</v>
      </c>
      <c r="BC34" s="24">
        <v>-1584371</v>
      </c>
      <c r="BD34" s="804">
        <f t="shared" si="16"/>
        <v>-1018662</v>
      </c>
      <c r="BE34" s="805">
        <f t="shared" si="17"/>
        <v>-1584371</v>
      </c>
      <c r="BF34" s="27">
        <v>21830354</v>
      </c>
      <c r="BG34" s="24">
        <v>16758003</v>
      </c>
      <c r="BH34" s="24">
        <f t="shared" si="38"/>
        <v>21830354</v>
      </c>
      <c r="BI34" s="28">
        <f t="shared" si="39"/>
        <v>16758003</v>
      </c>
      <c r="BJ34" s="27">
        <v>7538521</v>
      </c>
      <c r="BK34" s="24">
        <v>6762696</v>
      </c>
      <c r="BL34" s="804">
        <f t="shared" si="18"/>
        <v>7538521</v>
      </c>
      <c r="BM34" s="805">
        <f t="shared" si="19"/>
        <v>6762696</v>
      </c>
      <c r="BN34" s="27">
        <v>-7945350</v>
      </c>
      <c r="BO34" s="24">
        <v>-9376475</v>
      </c>
      <c r="BP34" s="24"/>
      <c r="BQ34" s="28"/>
      <c r="BR34" s="27">
        <v>-2324090</v>
      </c>
      <c r="BS34" s="24">
        <v>-2578727</v>
      </c>
      <c r="BT34" s="24">
        <f t="shared" si="40"/>
        <v>-2324090</v>
      </c>
      <c r="BU34" s="28">
        <f t="shared" si="41"/>
        <v>-2578727</v>
      </c>
      <c r="BV34" s="294"/>
      <c r="BW34" s="24"/>
      <c r="BX34" s="24"/>
      <c r="BY34" s="28"/>
      <c r="BZ34" s="399">
        <v>64601438</v>
      </c>
      <c r="CA34" s="394">
        <v>53744580</v>
      </c>
      <c r="CB34" s="807">
        <f t="shared" si="22"/>
        <v>64601438</v>
      </c>
      <c r="CC34" s="808">
        <f t="shared" si="23"/>
        <v>53744580</v>
      </c>
      <c r="CD34" s="33">
        <v>4463880</v>
      </c>
      <c r="CE34" s="34">
        <v>4057512</v>
      </c>
      <c r="CF34" s="34">
        <f t="shared" si="42"/>
        <v>4463880</v>
      </c>
      <c r="CG34" s="35">
        <f t="shared" si="43"/>
        <v>4057512</v>
      </c>
      <c r="CH34" s="36">
        <v>726219</v>
      </c>
      <c r="CI34" s="37">
        <v>-226636</v>
      </c>
      <c r="CJ34" s="804">
        <f t="shared" si="24"/>
        <v>726219</v>
      </c>
      <c r="CK34" s="805">
        <f t="shared" si="25"/>
        <v>-226636</v>
      </c>
      <c r="CL34" s="27">
        <v>900986</v>
      </c>
      <c r="CM34" s="24">
        <v>573340</v>
      </c>
      <c r="CN34" s="24">
        <f t="shared" si="44"/>
        <v>900986</v>
      </c>
      <c r="CO34" s="28">
        <f t="shared" si="45"/>
        <v>573340</v>
      </c>
      <c r="CP34" s="18">
        <f t="shared" si="26"/>
        <v>144926182</v>
      </c>
      <c r="CQ34" s="17">
        <f t="shared" si="26"/>
        <v>108895968</v>
      </c>
      <c r="CR34" s="17">
        <f t="shared" si="26"/>
        <v>152871532</v>
      </c>
      <c r="CS34" s="1487">
        <f t="shared" si="26"/>
        <v>118272443</v>
      </c>
      <c r="CT34" s="25"/>
      <c r="CU34" s="24"/>
      <c r="CV34" s="37">
        <f t="shared" si="46"/>
        <v>0</v>
      </c>
      <c r="CW34" s="38">
        <f t="shared" si="47"/>
        <v>0</v>
      </c>
      <c r="CX34" s="17">
        <f t="shared" si="27"/>
        <v>144926182</v>
      </c>
      <c r="CY34" s="17">
        <f t="shared" si="27"/>
        <v>108895968</v>
      </c>
      <c r="CZ34" s="17">
        <f t="shared" si="27"/>
        <v>152871532</v>
      </c>
      <c r="DA34" s="1487">
        <f t="shared" si="27"/>
        <v>118272443</v>
      </c>
    </row>
    <row r="35" spans="1:105" ht="28.5">
      <c r="A35" s="1475" t="s">
        <v>169</v>
      </c>
      <c r="B35" s="76"/>
      <c r="C35" s="15"/>
      <c r="D35" s="16">
        <f t="shared" si="57"/>
        <v>0</v>
      </c>
      <c r="E35" s="19">
        <f t="shared" si="58"/>
        <v>0</v>
      </c>
      <c r="F35" s="27"/>
      <c r="G35" s="24"/>
      <c r="H35" s="24">
        <f t="shared" si="52"/>
        <v>0</v>
      </c>
      <c r="I35" s="28">
        <f t="shared" si="53"/>
        <v>0</v>
      </c>
      <c r="J35" s="27"/>
      <c r="K35" s="24"/>
      <c r="L35" s="24">
        <f t="shared" si="30"/>
        <v>0</v>
      </c>
      <c r="M35" s="28">
        <f t="shared" si="31"/>
        <v>0</v>
      </c>
      <c r="N35" s="27"/>
      <c r="O35" s="24"/>
      <c r="P35" s="804">
        <f t="shared" si="4"/>
        <v>0</v>
      </c>
      <c r="Q35" s="805">
        <f t="shared" si="5"/>
        <v>0</v>
      </c>
      <c r="R35" s="27"/>
      <c r="S35" s="24"/>
      <c r="T35" s="804">
        <f t="shared" si="6"/>
        <v>0</v>
      </c>
      <c r="U35" s="805">
        <f t="shared" si="7"/>
        <v>0</v>
      </c>
      <c r="V35" s="27"/>
      <c r="W35" s="24"/>
      <c r="X35" s="24">
        <f t="shared" si="32"/>
        <v>0</v>
      </c>
      <c r="Y35" s="28">
        <f t="shared" si="33"/>
        <v>0</v>
      </c>
      <c r="Z35" s="27"/>
      <c r="AA35" s="24"/>
      <c r="AB35" s="804">
        <f t="shared" si="8"/>
        <v>0</v>
      </c>
      <c r="AC35" s="805">
        <f t="shared" si="9"/>
        <v>0</v>
      </c>
      <c r="AD35" s="27"/>
      <c r="AE35" s="24"/>
      <c r="AF35" s="804">
        <f t="shared" si="10"/>
        <v>0</v>
      </c>
      <c r="AG35" s="805">
        <f t="shared" si="11"/>
        <v>0</v>
      </c>
      <c r="AH35" s="27"/>
      <c r="AI35" s="24"/>
      <c r="AJ35" s="24">
        <f t="shared" si="54"/>
        <v>0</v>
      </c>
      <c r="AK35" s="28">
        <f t="shared" si="55"/>
        <v>0</v>
      </c>
      <c r="AL35" s="27"/>
      <c r="AM35" s="24"/>
      <c r="AN35" s="24">
        <f t="shared" si="34"/>
        <v>0</v>
      </c>
      <c r="AO35" s="28">
        <f t="shared" si="35"/>
        <v>0</v>
      </c>
      <c r="AP35" s="27"/>
      <c r="AQ35" s="24"/>
      <c r="AR35" s="804">
        <f t="shared" si="12"/>
        <v>0</v>
      </c>
      <c r="AS35" s="805">
        <f t="shared" si="13"/>
        <v>0</v>
      </c>
      <c r="AT35" s="27"/>
      <c r="AU35" s="24"/>
      <c r="AV35" s="803">
        <f t="shared" si="14"/>
        <v>0</v>
      </c>
      <c r="AW35" s="1245">
        <f t="shared" si="15"/>
        <v>0</v>
      </c>
      <c r="AX35" s="36"/>
      <c r="AY35" s="37"/>
      <c r="AZ35" s="30">
        <f t="shared" si="36"/>
        <v>0</v>
      </c>
      <c r="BA35" s="31">
        <f t="shared" si="37"/>
        <v>0</v>
      </c>
      <c r="BB35" s="27"/>
      <c r="BC35" s="24"/>
      <c r="BD35" s="804">
        <f t="shared" si="16"/>
        <v>0</v>
      </c>
      <c r="BE35" s="805">
        <f t="shared" si="17"/>
        <v>0</v>
      </c>
      <c r="BF35" s="27"/>
      <c r="BG35" s="24"/>
      <c r="BH35" s="24">
        <f t="shared" si="38"/>
        <v>0</v>
      </c>
      <c r="BI35" s="28">
        <f t="shared" si="39"/>
        <v>0</v>
      </c>
      <c r="BJ35" s="27"/>
      <c r="BK35" s="24"/>
      <c r="BL35" s="804">
        <f t="shared" si="18"/>
        <v>0</v>
      </c>
      <c r="BM35" s="805">
        <f t="shared" si="19"/>
        <v>0</v>
      </c>
      <c r="BN35" s="27"/>
      <c r="BO35" s="24"/>
      <c r="BP35" s="24"/>
      <c r="BQ35" s="28"/>
      <c r="BR35" s="27"/>
      <c r="BS35" s="24"/>
      <c r="BT35" s="24">
        <f t="shared" si="40"/>
        <v>0</v>
      </c>
      <c r="BU35" s="28">
        <f t="shared" si="41"/>
        <v>0</v>
      </c>
      <c r="BV35" s="294"/>
      <c r="BW35" s="24"/>
      <c r="BX35" s="24"/>
      <c r="BY35" s="28"/>
      <c r="BZ35" s="400"/>
      <c r="CA35" s="395"/>
      <c r="CB35" s="807">
        <f t="shared" si="22"/>
        <v>0</v>
      </c>
      <c r="CC35" s="808">
        <f t="shared" si="23"/>
        <v>0</v>
      </c>
      <c r="CD35" s="33"/>
      <c r="CE35" s="34"/>
      <c r="CF35" s="34">
        <f t="shared" si="42"/>
        <v>0</v>
      </c>
      <c r="CG35" s="35">
        <f t="shared" si="43"/>
        <v>0</v>
      </c>
      <c r="CH35" s="36"/>
      <c r="CI35" s="37"/>
      <c r="CJ35" s="804">
        <f t="shared" si="24"/>
        <v>0</v>
      </c>
      <c r="CK35" s="805">
        <f t="shared" si="25"/>
        <v>0</v>
      </c>
      <c r="CL35" s="27"/>
      <c r="CM35" s="24"/>
      <c r="CN35" s="24">
        <f t="shared" si="44"/>
        <v>0</v>
      </c>
      <c r="CO35" s="28">
        <f t="shared" si="45"/>
        <v>0</v>
      </c>
      <c r="CP35" s="18">
        <f t="shared" si="26"/>
        <v>0</v>
      </c>
      <c r="CQ35" s="17">
        <f t="shared" si="26"/>
        <v>0</v>
      </c>
      <c r="CR35" s="17">
        <f t="shared" si="26"/>
        <v>0</v>
      </c>
      <c r="CS35" s="1487">
        <f t="shared" si="26"/>
        <v>0</v>
      </c>
      <c r="CT35" s="25"/>
      <c r="CU35" s="24"/>
      <c r="CV35" s="37">
        <f t="shared" si="46"/>
        <v>0</v>
      </c>
      <c r="CW35" s="38">
        <f t="shared" si="47"/>
        <v>0</v>
      </c>
      <c r="CX35" s="17">
        <f t="shared" si="27"/>
        <v>0</v>
      </c>
      <c r="CY35" s="17">
        <f t="shared" si="27"/>
        <v>0</v>
      </c>
      <c r="CZ35" s="17">
        <f t="shared" si="27"/>
        <v>0</v>
      </c>
      <c r="DA35" s="1487">
        <f t="shared" si="27"/>
        <v>0</v>
      </c>
    </row>
    <row r="36" spans="1:105" ht="28.5">
      <c r="A36" s="1477" t="s">
        <v>170</v>
      </c>
      <c r="B36" s="76"/>
      <c r="C36" s="15"/>
      <c r="D36" s="15"/>
      <c r="E36" s="77"/>
      <c r="F36" s="27"/>
      <c r="G36" s="24"/>
      <c r="H36" s="24">
        <f t="shared" si="52"/>
        <v>0</v>
      </c>
      <c r="I36" s="28">
        <f t="shared" si="53"/>
        <v>0</v>
      </c>
      <c r="J36" s="27"/>
      <c r="K36" s="24"/>
      <c r="L36" s="24">
        <f t="shared" si="30"/>
        <v>0</v>
      </c>
      <c r="M36" s="28">
        <f t="shared" si="31"/>
        <v>0</v>
      </c>
      <c r="N36" s="27"/>
      <c r="O36" s="24"/>
      <c r="P36" s="804">
        <f t="shared" si="4"/>
        <v>0</v>
      </c>
      <c r="Q36" s="805">
        <f t="shared" si="5"/>
        <v>0</v>
      </c>
      <c r="R36" s="27"/>
      <c r="S36" s="24"/>
      <c r="T36" s="804">
        <f t="shared" si="6"/>
        <v>0</v>
      </c>
      <c r="U36" s="805">
        <f t="shared" si="7"/>
        <v>0</v>
      </c>
      <c r="V36" s="27"/>
      <c r="W36" s="24"/>
      <c r="X36" s="24">
        <f t="shared" si="32"/>
        <v>0</v>
      </c>
      <c r="Y36" s="28">
        <f t="shared" si="33"/>
        <v>0</v>
      </c>
      <c r="Z36" s="27"/>
      <c r="AA36" s="24"/>
      <c r="AB36" s="804">
        <f t="shared" si="8"/>
        <v>0</v>
      </c>
      <c r="AC36" s="805">
        <f t="shared" si="9"/>
        <v>0</v>
      </c>
      <c r="AD36" s="27"/>
      <c r="AE36" s="24"/>
      <c r="AF36" s="804">
        <f t="shared" si="10"/>
        <v>0</v>
      </c>
      <c r="AG36" s="805">
        <f t="shared" si="11"/>
        <v>0</v>
      </c>
      <c r="AH36" s="27"/>
      <c r="AI36" s="24"/>
      <c r="AJ36" s="24">
        <f t="shared" si="54"/>
        <v>0</v>
      </c>
      <c r="AK36" s="28">
        <f t="shared" si="55"/>
        <v>0</v>
      </c>
      <c r="AL36" s="27"/>
      <c r="AM36" s="24"/>
      <c r="AN36" s="24">
        <f t="shared" si="34"/>
        <v>0</v>
      </c>
      <c r="AO36" s="28">
        <f t="shared" si="35"/>
        <v>0</v>
      </c>
      <c r="AP36" s="27"/>
      <c r="AQ36" s="24"/>
      <c r="AR36" s="804">
        <f t="shared" si="12"/>
        <v>0</v>
      </c>
      <c r="AS36" s="805">
        <f t="shared" si="13"/>
        <v>0</v>
      </c>
      <c r="AT36" s="27"/>
      <c r="AU36" s="24">
        <v>4737332</v>
      </c>
      <c r="AV36" s="803">
        <f t="shared" si="14"/>
        <v>0</v>
      </c>
      <c r="AW36" s="1245">
        <f t="shared" si="15"/>
        <v>4737332</v>
      </c>
      <c r="AX36" s="36">
        <v>-800000</v>
      </c>
      <c r="AY36" s="37"/>
      <c r="AZ36" s="30">
        <f t="shared" si="36"/>
        <v>-800000</v>
      </c>
      <c r="BA36" s="31">
        <f t="shared" si="37"/>
        <v>0</v>
      </c>
      <c r="BB36" s="27"/>
      <c r="BC36" s="24"/>
      <c r="BD36" s="804">
        <f t="shared" si="16"/>
        <v>0</v>
      </c>
      <c r="BE36" s="805">
        <f t="shared" si="17"/>
        <v>0</v>
      </c>
      <c r="BF36" s="27"/>
      <c r="BG36" s="24"/>
      <c r="BH36" s="24">
        <f t="shared" si="38"/>
        <v>0</v>
      </c>
      <c r="BI36" s="28">
        <f t="shared" si="39"/>
        <v>0</v>
      </c>
      <c r="BJ36" s="27">
        <v>2647962</v>
      </c>
      <c r="BK36" s="24">
        <v>1630991</v>
      </c>
      <c r="BL36" s="804">
        <f t="shared" si="18"/>
        <v>2647962</v>
      </c>
      <c r="BM36" s="805">
        <f t="shared" si="19"/>
        <v>1630991</v>
      </c>
      <c r="BN36" s="27"/>
      <c r="BO36" s="24"/>
      <c r="BP36" s="24"/>
      <c r="BQ36" s="28"/>
      <c r="BR36" s="27"/>
      <c r="BS36" s="24"/>
      <c r="BT36" s="24">
        <f t="shared" si="40"/>
        <v>0</v>
      </c>
      <c r="BU36" s="28">
        <f t="shared" si="41"/>
        <v>0</v>
      </c>
      <c r="BV36" s="294"/>
      <c r="BW36" s="24"/>
      <c r="BX36" s="24"/>
      <c r="BY36" s="28"/>
      <c r="BZ36" s="400"/>
      <c r="CA36" s="395"/>
      <c r="CB36" s="807">
        <f t="shared" si="22"/>
        <v>0</v>
      </c>
      <c r="CC36" s="808">
        <f t="shared" si="23"/>
        <v>0</v>
      </c>
      <c r="CD36" s="33"/>
      <c r="CE36" s="34"/>
      <c r="CF36" s="34">
        <f t="shared" si="42"/>
        <v>0</v>
      </c>
      <c r="CG36" s="35">
        <f t="shared" si="43"/>
        <v>0</v>
      </c>
      <c r="CH36" s="36"/>
      <c r="CI36" s="37"/>
      <c r="CJ36" s="804">
        <f t="shared" si="24"/>
        <v>0</v>
      </c>
      <c r="CK36" s="805">
        <f t="shared" si="25"/>
        <v>0</v>
      </c>
      <c r="CL36" s="27"/>
      <c r="CM36" s="24"/>
      <c r="CN36" s="24">
        <f t="shared" si="44"/>
        <v>0</v>
      </c>
      <c r="CO36" s="28">
        <f t="shared" si="45"/>
        <v>0</v>
      </c>
      <c r="CP36" s="18">
        <f t="shared" si="26"/>
        <v>1847962</v>
      </c>
      <c r="CQ36" s="17">
        <f t="shared" si="26"/>
        <v>6368323</v>
      </c>
      <c r="CR36" s="17">
        <f t="shared" si="26"/>
        <v>1847962</v>
      </c>
      <c r="CS36" s="1487">
        <f t="shared" si="26"/>
        <v>6368323</v>
      </c>
      <c r="CT36" s="25"/>
      <c r="CU36" s="24"/>
      <c r="CV36" s="37">
        <f t="shared" si="46"/>
        <v>0</v>
      </c>
      <c r="CW36" s="38">
        <f t="shared" si="47"/>
        <v>0</v>
      </c>
      <c r="CX36" s="17">
        <f t="shared" si="27"/>
        <v>1847962</v>
      </c>
      <c r="CY36" s="17">
        <f t="shared" si="27"/>
        <v>6368323</v>
      </c>
      <c r="CZ36" s="17">
        <f t="shared" si="27"/>
        <v>1847962</v>
      </c>
      <c r="DA36" s="1487">
        <f t="shared" si="27"/>
        <v>6368323</v>
      </c>
    </row>
    <row r="37" spans="1:105" ht="14.25">
      <c r="A37" s="1475" t="s">
        <v>171</v>
      </c>
      <c r="B37" s="76"/>
      <c r="C37" s="15"/>
      <c r="D37" s="15"/>
      <c r="E37" s="77"/>
      <c r="F37" s="27"/>
      <c r="G37" s="24"/>
      <c r="H37" s="24">
        <f t="shared" si="52"/>
        <v>0</v>
      </c>
      <c r="I37" s="28">
        <f t="shared" si="53"/>
        <v>0</v>
      </c>
      <c r="J37" s="27"/>
      <c r="K37" s="24"/>
      <c r="L37" s="24">
        <f t="shared" si="30"/>
        <v>0</v>
      </c>
      <c r="M37" s="28">
        <f t="shared" si="31"/>
        <v>0</v>
      </c>
      <c r="N37" s="27"/>
      <c r="O37" s="24"/>
      <c r="P37" s="804">
        <f t="shared" si="4"/>
        <v>0</v>
      </c>
      <c r="Q37" s="805">
        <f t="shared" si="5"/>
        <v>0</v>
      </c>
      <c r="R37" s="27"/>
      <c r="S37" s="24"/>
      <c r="T37" s="804">
        <f t="shared" si="6"/>
        <v>0</v>
      </c>
      <c r="U37" s="805">
        <f t="shared" si="7"/>
        <v>0</v>
      </c>
      <c r="V37" s="27"/>
      <c r="W37" s="24"/>
      <c r="X37" s="24">
        <f t="shared" si="32"/>
        <v>0</v>
      </c>
      <c r="Y37" s="28">
        <f t="shared" si="33"/>
        <v>0</v>
      </c>
      <c r="Z37" s="27"/>
      <c r="AA37" s="24"/>
      <c r="AB37" s="804">
        <f t="shared" si="8"/>
        <v>0</v>
      </c>
      <c r="AC37" s="805">
        <f t="shared" si="9"/>
        <v>0</v>
      </c>
      <c r="AD37" s="27"/>
      <c r="AE37" s="24"/>
      <c r="AF37" s="804">
        <f t="shared" si="10"/>
        <v>0</v>
      </c>
      <c r="AG37" s="805">
        <f t="shared" si="11"/>
        <v>0</v>
      </c>
      <c r="AH37" s="27"/>
      <c r="AI37" s="24"/>
      <c r="AJ37" s="24">
        <f t="shared" si="54"/>
        <v>0</v>
      </c>
      <c r="AK37" s="28">
        <f t="shared" si="55"/>
        <v>0</v>
      </c>
      <c r="AL37" s="27"/>
      <c r="AM37" s="24"/>
      <c r="AN37" s="24">
        <f t="shared" si="34"/>
        <v>0</v>
      </c>
      <c r="AO37" s="28">
        <f t="shared" si="35"/>
        <v>0</v>
      </c>
      <c r="AP37" s="27"/>
      <c r="AQ37" s="24"/>
      <c r="AR37" s="804">
        <f t="shared" si="12"/>
        <v>0</v>
      </c>
      <c r="AS37" s="805">
        <f t="shared" si="13"/>
        <v>0</v>
      </c>
      <c r="AT37" s="27"/>
      <c r="AU37" s="24">
        <v>973773</v>
      </c>
      <c r="AV37" s="803">
        <f t="shared" si="14"/>
        <v>0</v>
      </c>
      <c r="AW37" s="1245">
        <f t="shared" si="15"/>
        <v>973773</v>
      </c>
      <c r="AX37" s="36">
        <v>-164442</v>
      </c>
      <c r="AY37" s="37"/>
      <c r="AZ37" s="30">
        <f t="shared" si="36"/>
        <v>-164442</v>
      </c>
      <c r="BA37" s="31">
        <f t="shared" si="37"/>
        <v>0</v>
      </c>
      <c r="BB37" s="27"/>
      <c r="BC37" s="24"/>
      <c r="BD37" s="804">
        <f t="shared" si="16"/>
        <v>0</v>
      </c>
      <c r="BE37" s="805">
        <f t="shared" si="17"/>
        <v>0</v>
      </c>
      <c r="BF37" s="27"/>
      <c r="BG37" s="24"/>
      <c r="BH37" s="24">
        <f t="shared" si="38"/>
        <v>0</v>
      </c>
      <c r="BI37" s="28">
        <f t="shared" si="39"/>
        <v>0</v>
      </c>
      <c r="BJ37" s="27">
        <v>544296</v>
      </c>
      <c r="BK37" s="24">
        <v>335255</v>
      </c>
      <c r="BL37" s="804">
        <f t="shared" si="18"/>
        <v>544296</v>
      </c>
      <c r="BM37" s="805">
        <f t="shared" si="19"/>
        <v>335255</v>
      </c>
      <c r="BN37" s="27"/>
      <c r="BO37" s="24"/>
      <c r="BP37" s="24"/>
      <c r="BQ37" s="28"/>
      <c r="BR37" s="27"/>
      <c r="BS37" s="24"/>
      <c r="BT37" s="24">
        <f t="shared" si="40"/>
        <v>0</v>
      </c>
      <c r="BU37" s="28">
        <f t="shared" si="41"/>
        <v>0</v>
      </c>
      <c r="BV37" s="294"/>
      <c r="BW37" s="24"/>
      <c r="BX37" s="24"/>
      <c r="BY37" s="28"/>
      <c r="BZ37" s="400"/>
      <c r="CA37" s="395"/>
      <c r="CB37" s="807">
        <f t="shared" si="22"/>
        <v>0</v>
      </c>
      <c r="CC37" s="808">
        <f t="shared" si="23"/>
        <v>0</v>
      </c>
      <c r="CD37" s="33"/>
      <c r="CE37" s="34"/>
      <c r="CF37" s="34">
        <f t="shared" si="42"/>
        <v>0</v>
      </c>
      <c r="CG37" s="35">
        <f t="shared" si="43"/>
        <v>0</v>
      </c>
      <c r="CH37" s="36"/>
      <c r="CI37" s="37"/>
      <c r="CJ37" s="804">
        <f t="shared" si="24"/>
        <v>0</v>
      </c>
      <c r="CK37" s="805">
        <f t="shared" si="25"/>
        <v>0</v>
      </c>
      <c r="CL37" s="27"/>
      <c r="CM37" s="24"/>
      <c r="CN37" s="24">
        <f t="shared" si="44"/>
        <v>0</v>
      </c>
      <c r="CO37" s="28">
        <f t="shared" si="45"/>
        <v>0</v>
      </c>
      <c r="CP37" s="18">
        <f t="shared" si="26"/>
        <v>379854</v>
      </c>
      <c r="CQ37" s="17">
        <f t="shared" si="26"/>
        <v>1309028</v>
      </c>
      <c r="CR37" s="17">
        <f t="shared" si="26"/>
        <v>379854</v>
      </c>
      <c r="CS37" s="1487">
        <f t="shared" si="26"/>
        <v>1309028</v>
      </c>
      <c r="CT37" s="25"/>
      <c r="CU37" s="24"/>
      <c r="CV37" s="37">
        <f t="shared" si="46"/>
        <v>0</v>
      </c>
      <c r="CW37" s="38">
        <f t="shared" si="47"/>
        <v>0</v>
      </c>
      <c r="CX37" s="17">
        <f t="shared" si="27"/>
        <v>379854</v>
      </c>
      <c r="CY37" s="17">
        <f t="shared" si="27"/>
        <v>1309028</v>
      </c>
      <c r="CZ37" s="17">
        <f t="shared" si="27"/>
        <v>379854</v>
      </c>
      <c r="DA37" s="1487">
        <f t="shared" si="27"/>
        <v>1309028</v>
      </c>
    </row>
    <row r="38" spans="1:105" ht="28.5">
      <c r="A38" s="1475" t="s">
        <v>172</v>
      </c>
      <c r="B38" s="17"/>
      <c r="C38" s="16"/>
      <c r="D38" s="16"/>
      <c r="E38" s="19"/>
      <c r="F38" s="46"/>
      <c r="G38" s="49"/>
      <c r="H38" s="24">
        <f t="shared" si="52"/>
        <v>0</v>
      </c>
      <c r="I38" s="28">
        <f t="shared" si="53"/>
        <v>0</v>
      </c>
      <c r="J38" s="46"/>
      <c r="K38" s="49"/>
      <c r="L38" s="24">
        <f t="shared" si="30"/>
        <v>0</v>
      </c>
      <c r="M38" s="28">
        <f t="shared" si="31"/>
        <v>0</v>
      </c>
      <c r="N38" s="46"/>
      <c r="O38" s="49"/>
      <c r="P38" s="804">
        <f t="shared" si="4"/>
        <v>0</v>
      </c>
      <c r="Q38" s="805">
        <f t="shared" si="5"/>
        <v>0</v>
      </c>
      <c r="R38" s="46"/>
      <c r="S38" s="49"/>
      <c r="T38" s="804">
        <f t="shared" si="6"/>
        <v>0</v>
      </c>
      <c r="U38" s="805">
        <f t="shared" si="7"/>
        <v>0</v>
      </c>
      <c r="V38" s="46"/>
      <c r="W38" s="49"/>
      <c r="X38" s="24">
        <f t="shared" si="32"/>
        <v>0</v>
      </c>
      <c r="Y38" s="28">
        <f t="shared" si="33"/>
        <v>0</v>
      </c>
      <c r="Z38" s="46"/>
      <c r="AA38" s="49"/>
      <c r="AB38" s="804">
        <f t="shared" si="8"/>
        <v>0</v>
      </c>
      <c r="AC38" s="805">
        <f t="shared" si="9"/>
        <v>0</v>
      </c>
      <c r="AD38" s="46"/>
      <c r="AE38" s="49"/>
      <c r="AF38" s="804">
        <f t="shared" si="10"/>
        <v>0</v>
      </c>
      <c r="AG38" s="805">
        <f t="shared" si="11"/>
        <v>0</v>
      </c>
      <c r="AH38" s="46"/>
      <c r="AI38" s="49"/>
      <c r="AJ38" s="24">
        <f t="shared" si="54"/>
        <v>0</v>
      </c>
      <c r="AK38" s="28">
        <f t="shared" si="55"/>
        <v>0</v>
      </c>
      <c r="AL38" s="46"/>
      <c r="AM38" s="49"/>
      <c r="AN38" s="24">
        <f t="shared" si="34"/>
        <v>0</v>
      </c>
      <c r="AO38" s="28">
        <f t="shared" si="35"/>
        <v>0</v>
      </c>
      <c r="AP38" s="46"/>
      <c r="AQ38" s="49"/>
      <c r="AR38" s="804">
        <f t="shared" si="12"/>
        <v>0</v>
      </c>
      <c r="AS38" s="805">
        <f t="shared" si="13"/>
        <v>0</v>
      </c>
      <c r="AT38" s="46"/>
      <c r="AU38" s="49"/>
      <c r="AV38" s="803">
        <f t="shared" si="14"/>
        <v>0</v>
      </c>
      <c r="AW38" s="1245">
        <f t="shared" si="15"/>
        <v>0</v>
      </c>
      <c r="AX38" s="29"/>
      <c r="AY38" s="307"/>
      <c r="AZ38" s="30">
        <f t="shared" si="36"/>
        <v>0</v>
      </c>
      <c r="BA38" s="31">
        <f t="shared" si="37"/>
        <v>0</v>
      </c>
      <c r="BB38" s="46"/>
      <c r="BC38" s="49"/>
      <c r="BD38" s="804">
        <f t="shared" si="16"/>
        <v>0</v>
      </c>
      <c r="BE38" s="805">
        <f t="shared" si="17"/>
        <v>0</v>
      </c>
      <c r="BF38" s="48"/>
      <c r="BG38" s="49"/>
      <c r="BH38" s="24">
        <f t="shared" si="38"/>
        <v>0</v>
      </c>
      <c r="BI38" s="28">
        <f t="shared" si="39"/>
        <v>0</v>
      </c>
      <c r="BJ38" s="46"/>
      <c r="BK38" s="49"/>
      <c r="BL38" s="804">
        <f t="shared" si="18"/>
        <v>0</v>
      </c>
      <c r="BM38" s="805">
        <f t="shared" si="19"/>
        <v>0</v>
      </c>
      <c r="BN38" s="46"/>
      <c r="BO38" s="49"/>
      <c r="BP38" s="49"/>
      <c r="BQ38" s="50"/>
      <c r="BR38" s="46"/>
      <c r="BS38" s="49"/>
      <c r="BT38" s="24">
        <f t="shared" si="40"/>
        <v>0</v>
      </c>
      <c r="BU38" s="28">
        <f t="shared" si="41"/>
        <v>0</v>
      </c>
      <c r="BV38" s="294"/>
      <c r="BW38" s="308"/>
      <c r="BX38" s="308"/>
      <c r="BY38" s="564"/>
      <c r="BZ38" s="400"/>
      <c r="CA38" s="395"/>
      <c r="CB38" s="807">
        <f t="shared" si="22"/>
        <v>0</v>
      </c>
      <c r="CC38" s="808">
        <f t="shared" si="23"/>
        <v>0</v>
      </c>
      <c r="CD38" s="33"/>
      <c r="CE38" s="309"/>
      <c r="CF38" s="34">
        <f t="shared" si="42"/>
        <v>0</v>
      </c>
      <c r="CG38" s="35">
        <f t="shared" si="43"/>
        <v>0</v>
      </c>
      <c r="CH38" s="36"/>
      <c r="CI38" s="310"/>
      <c r="CJ38" s="804">
        <f t="shared" si="24"/>
        <v>0</v>
      </c>
      <c r="CK38" s="805">
        <f t="shared" si="25"/>
        <v>0</v>
      </c>
      <c r="CL38" s="46"/>
      <c r="CM38" s="49"/>
      <c r="CN38" s="24">
        <f t="shared" si="44"/>
        <v>0</v>
      </c>
      <c r="CO38" s="28">
        <f t="shared" si="45"/>
        <v>0</v>
      </c>
      <c r="CP38" s="18">
        <f t="shared" si="26"/>
        <v>0</v>
      </c>
      <c r="CQ38" s="17">
        <f t="shared" si="26"/>
        <v>0</v>
      </c>
      <c r="CR38" s="17">
        <f t="shared" si="26"/>
        <v>0</v>
      </c>
      <c r="CS38" s="1487">
        <f t="shared" si="26"/>
        <v>0</v>
      </c>
      <c r="CT38" s="44">
        <v>31833</v>
      </c>
      <c r="CU38" s="49">
        <v>-5327</v>
      </c>
      <c r="CV38" s="37">
        <f t="shared" si="46"/>
        <v>31833</v>
      </c>
      <c r="CW38" s="38">
        <f t="shared" si="47"/>
        <v>-5327</v>
      </c>
      <c r="CX38" s="17">
        <f t="shared" si="27"/>
        <v>31833</v>
      </c>
      <c r="CY38" s="17">
        <f t="shared" si="27"/>
        <v>-5327</v>
      </c>
      <c r="CZ38" s="17">
        <f t="shared" si="27"/>
        <v>31833</v>
      </c>
      <c r="DA38" s="1487">
        <f t="shared" si="27"/>
        <v>-5327</v>
      </c>
    </row>
    <row r="39" spans="1:105" ht="28.5">
      <c r="A39" s="1478" t="s">
        <v>408</v>
      </c>
      <c r="B39" s="17"/>
      <c r="C39" s="16"/>
      <c r="D39" s="16"/>
      <c r="E39" s="19"/>
      <c r="F39" s="1116"/>
      <c r="G39" s="1117"/>
      <c r="H39" s="24">
        <f t="shared" si="52"/>
        <v>0</v>
      </c>
      <c r="I39" s="28">
        <f t="shared" si="53"/>
        <v>0</v>
      </c>
      <c r="J39" s="1116"/>
      <c r="K39" s="1117"/>
      <c r="L39" s="24">
        <f t="shared" si="30"/>
        <v>0</v>
      </c>
      <c r="M39" s="28">
        <f t="shared" si="31"/>
        <v>0</v>
      </c>
      <c r="N39" s="1116"/>
      <c r="O39" s="1117"/>
      <c r="P39" s="804">
        <f t="shared" si="4"/>
        <v>0</v>
      </c>
      <c r="Q39" s="805">
        <f t="shared" si="5"/>
        <v>0</v>
      </c>
      <c r="R39" s="1116"/>
      <c r="S39" s="1117"/>
      <c r="T39" s="804">
        <f t="shared" si="6"/>
        <v>0</v>
      </c>
      <c r="U39" s="805">
        <f t="shared" si="7"/>
        <v>0</v>
      </c>
      <c r="V39" s="1116"/>
      <c r="W39" s="1117"/>
      <c r="X39" s="24">
        <f t="shared" si="32"/>
        <v>0</v>
      </c>
      <c r="Y39" s="28">
        <f t="shared" si="33"/>
        <v>0</v>
      </c>
      <c r="Z39" s="1116"/>
      <c r="AA39" s="1117"/>
      <c r="AB39" s="804">
        <f t="shared" si="8"/>
        <v>0</v>
      </c>
      <c r="AC39" s="805">
        <f t="shared" si="9"/>
        <v>0</v>
      </c>
      <c r="AD39" s="1116"/>
      <c r="AE39" s="1117"/>
      <c r="AF39" s="804">
        <f t="shared" si="10"/>
        <v>0</v>
      </c>
      <c r="AG39" s="805">
        <f t="shared" si="11"/>
        <v>0</v>
      </c>
      <c r="AH39" s="1116"/>
      <c r="AI39" s="1117"/>
      <c r="AJ39" s="24">
        <f t="shared" si="54"/>
        <v>0</v>
      </c>
      <c r="AK39" s="28">
        <f t="shared" si="55"/>
        <v>0</v>
      </c>
      <c r="AL39" s="1116"/>
      <c r="AM39" s="1117"/>
      <c r="AN39" s="24">
        <f t="shared" si="34"/>
        <v>0</v>
      </c>
      <c r="AO39" s="28">
        <f t="shared" si="35"/>
        <v>0</v>
      </c>
      <c r="AP39" s="1116"/>
      <c r="AQ39" s="1117"/>
      <c r="AR39" s="804">
        <f t="shared" si="12"/>
        <v>0</v>
      </c>
      <c r="AS39" s="805">
        <f t="shared" si="13"/>
        <v>0</v>
      </c>
      <c r="AT39" s="1116"/>
      <c r="AU39" s="1117"/>
      <c r="AV39" s="803">
        <f t="shared" si="14"/>
        <v>0</v>
      </c>
      <c r="AW39" s="1245">
        <f t="shared" si="15"/>
        <v>0</v>
      </c>
      <c r="AX39" s="1119"/>
      <c r="AY39" s="1120"/>
      <c r="AZ39" s="30">
        <f t="shared" si="36"/>
        <v>0</v>
      </c>
      <c r="BA39" s="31">
        <f t="shared" si="37"/>
        <v>0</v>
      </c>
      <c r="BB39" s="1116"/>
      <c r="BC39" s="1117"/>
      <c r="BD39" s="804">
        <f t="shared" si="16"/>
        <v>0</v>
      </c>
      <c r="BE39" s="805">
        <f t="shared" si="17"/>
        <v>0</v>
      </c>
      <c r="BF39" s="1121"/>
      <c r="BG39" s="1117"/>
      <c r="BH39" s="24">
        <f t="shared" si="38"/>
        <v>0</v>
      </c>
      <c r="BI39" s="28">
        <f t="shared" si="39"/>
        <v>0</v>
      </c>
      <c r="BJ39" s="1116"/>
      <c r="BK39" s="1117"/>
      <c r="BL39" s="804">
        <f t="shared" si="18"/>
        <v>0</v>
      </c>
      <c r="BM39" s="805">
        <f t="shared" si="19"/>
        <v>0</v>
      </c>
      <c r="BN39" s="1116"/>
      <c r="BO39" s="1117"/>
      <c r="BP39" s="1117"/>
      <c r="BQ39" s="1118"/>
      <c r="BR39" s="1116"/>
      <c r="BS39" s="1117"/>
      <c r="BT39" s="24">
        <f t="shared" si="40"/>
        <v>0</v>
      </c>
      <c r="BU39" s="28">
        <f t="shared" si="41"/>
        <v>0</v>
      </c>
      <c r="BV39" s="1122"/>
      <c r="BW39" s="1123"/>
      <c r="BX39" s="1123"/>
      <c r="BY39" s="1124"/>
      <c r="BZ39" s="1125"/>
      <c r="CA39" s="1126"/>
      <c r="CB39" s="807">
        <f t="shared" si="22"/>
        <v>0</v>
      </c>
      <c r="CC39" s="808">
        <f t="shared" si="23"/>
        <v>0</v>
      </c>
      <c r="CD39" s="1127">
        <v>2771</v>
      </c>
      <c r="CE39" s="1128">
        <v>300</v>
      </c>
      <c r="CF39" s="34">
        <f t="shared" si="42"/>
        <v>2771</v>
      </c>
      <c r="CG39" s="35">
        <f t="shared" si="43"/>
        <v>300</v>
      </c>
      <c r="CH39" s="1090"/>
      <c r="CI39" s="1129"/>
      <c r="CJ39" s="804">
        <f t="shared" si="24"/>
        <v>0</v>
      </c>
      <c r="CK39" s="805">
        <f t="shared" si="25"/>
        <v>0</v>
      </c>
      <c r="CL39" s="1116"/>
      <c r="CM39" s="1117"/>
      <c r="CN39" s="24">
        <f t="shared" si="44"/>
        <v>0</v>
      </c>
      <c r="CO39" s="28">
        <f t="shared" si="45"/>
        <v>0</v>
      </c>
      <c r="CP39" s="1130"/>
      <c r="CQ39" s="1114"/>
      <c r="CR39" s="1114"/>
      <c r="CS39" s="1131"/>
      <c r="CT39" s="1132"/>
      <c r="CU39" s="1117"/>
      <c r="CV39" s="37">
        <f t="shared" si="46"/>
        <v>0</v>
      </c>
      <c r="CW39" s="38">
        <f t="shared" si="47"/>
        <v>0</v>
      </c>
      <c r="CX39" s="1114"/>
      <c r="CY39" s="1130"/>
      <c r="CZ39" s="1130"/>
      <c r="DA39" s="1115"/>
    </row>
    <row r="40" spans="1:105" s="1678" customFormat="1" ht="27.75" thickBot="1">
      <c r="A40" s="1652" t="s">
        <v>173</v>
      </c>
      <c r="B40" s="1653">
        <f aca="true" t="shared" si="60" ref="B40:O40">B32+B34</f>
        <v>-912667</v>
      </c>
      <c r="C40" s="1654">
        <f t="shared" si="60"/>
        <v>-2185378</v>
      </c>
      <c r="D40" s="1654">
        <f t="shared" si="60"/>
        <v>-912667</v>
      </c>
      <c r="E40" s="1655">
        <f t="shared" si="60"/>
        <v>-2185378</v>
      </c>
      <c r="F40" s="1656">
        <f t="shared" si="60"/>
        <v>-5636674</v>
      </c>
      <c r="G40" s="1657">
        <f t="shared" si="60"/>
        <v>-4897245</v>
      </c>
      <c r="H40" s="1658">
        <f t="shared" si="52"/>
        <v>-5636674</v>
      </c>
      <c r="I40" s="1659">
        <f t="shared" si="53"/>
        <v>-4897245</v>
      </c>
      <c r="J40" s="1656">
        <f t="shared" si="60"/>
        <v>-12987502</v>
      </c>
      <c r="K40" s="1657">
        <f t="shared" si="60"/>
        <v>-13526273</v>
      </c>
      <c r="L40" s="1658">
        <f t="shared" si="30"/>
        <v>-12987502</v>
      </c>
      <c r="M40" s="1659">
        <f t="shared" si="31"/>
        <v>-13526273</v>
      </c>
      <c r="N40" s="1660">
        <f t="shared" si="60"/>
        <v>84010774</v>
      </c>
      <c r="O40" s="1661">
        <f t="shared" si="60"/>
        <v>81108726</v>
      </c>
      <c r="P40" s="1662">
        <f t="shared" si="4"/>
        <v>84010774</v>
      </c>
      <c r="Q40" s="1663">
        <f t="shared" si="5"/>
        <v>81108726</v>
      </c>
      <c r="R40" s="1656">
        <f>R32+R34</f>
        <v>-25273644</v>
      </c>
      <c r="S40" s="1657">
        <f>S32+S34</f>
        <v>-24671797</v>
      </c>
      <c r="T40" s="1662">
        <f t="shared" si="6"/>
        <v>-25273644</v>
      </c>
      <c r="U40" s="1663">
        <f t="shared" si="7"/>
        <v>-24671797</v>
      </c>
      <c r="V40" s="1656">
        <f>V32+V34</f>
        <v>315073</v>
      </c>
      <c r="W40" s="1657">
        <f>W32+W34</f>
        <v>-1467508</v>
      </c>
      <c r="X40" s="1658">
        <f t="shared" si="32"/>
        <v>315073</v>
      </c>
      <c r="Y40" s="1659">
        <f t="shared" si="33"/>
        <v>-1467508</v>
      </c>
      <c r="Z40" s="1656">
        <f>Z32+Z34</f>
        <v>-1866091</v>
      </c>
      <c r="AA40" s="1657">
        <f>AA32+AA34</f>
        <v>-2286776</v>
      </c>
      <c r="AB40" s="1662">
        <f t="shared" si="8"/>
        <v>-1866091</v>
      </c>
      <c r="AC40" s="1663">
        <f t="shared" si="9"/>
        <v>-2286776</v>
      </c>
      <c r="AD40" s="1656">
        <f>AD32+AD34</f>
        <v>-11812324</v>
      </c>
      <c r="AE40" s="1657">
        <f>AE32+AE34</f>
        <v>-9057530</v>
      </c>
      <c r="AF40" s="1662">
        <f t="shared" si="10"/>
        <v>-11812324</v>
      </c>
      <c r="AG40" s="1663">
        <f t="shared" si="11"/>
        <v>-9057530</v>
      </c>
      <c r="AH40" s="1656">
        <f>AH32+AH34</f>
        <v>-7863298</v>
      </c>
      <c r="AI40" s="1657">
        <f>AI32+AI34</f>
        <v>-7682906</v>
      </c>
      <c r="AJ40" s="1658">
        <f t="shared" si="54"/>
        <v>-7863298</v>
      </c>
      <c r="AK40" s="1659">
        <f t="shared" si="55"/>
        <v>-7682906</v>
      </c>
      <c r="AL40" s="1656">
        <f>AL32+AL34</f>
        <v>-17189855</v>
      </c>
      <c r="AM40" s="1657">
        <f>AM32+AM34</f>
        <v>-15250364</v>
      </c>
      <c r="AN40" s="1658">
        <f t="shared" si="34"/>
        <v>-17189855</v>
      </c>
      <c r="AO40" s="1659">
        <f t="shared" si="35"/>
        <v>-15250364</v>
      </c>
      <c r="AP40" s="1660">
        <f>AP32+AP34</f>
        <v>36986437</v>
      </c>
      <c r="AQ40" s="1661">
        <f>AQ32+AQ34</f>
        <v>27738241</v>
      </c>
      <c r="AR40" s="1662">
        <f t="shared" si="12"/>
        <v>36986437</v>
      </c>
      <c r="AS40" s="1663">
        <f t="shared" si="13"/>
        <v>27738241</v>
      </c>
      <c r="AT40" s="1660">
        <f>AT32+AT34</f>
        <v>22689110</v>
      </c>
      <c r="AU40" s="1661">
        <v>14035254</v>
      </c>
      <c r="AV40" s="1664">
        <f t="shared" si="14"/>
        <v>22689110</v>
      </c>
      <c r="AW40" s="1665">
        <f t="shared" si="15"/>
        <v>14035254</v>
      </c>
      <c r="AX40" s="1660">
        <v>246643</v>
      </c>
      <c r="AY40" s="1661">
        <f>AY32+AY34</f>
        <v>-105262</v>
      </c>
      <c r="AZ40" s="1666">
        <f t="shared" si="36"/>
        <v>246643</v>
      </c>
      <c r="BA40" s="1667">
        <f t="shared" si="37"/>
        <v>-105262</v>
      </c>
      <c r="BB40" s="1660">
        <f aca="true" t="shared" si="61" ref="BB40:BG40">BB32+BB34</f>
        <v>-1626059</v>
      </c>
      <c r="BC40" s="1661">
        <f t="shared" si="61"/>
        <v>-1678556</v>
      </c>
      <c r="BD40" s="1662">
        <f t="shared" si="16"/>
        <v>-1626059</v>
      </c>
      <c r="BE40" s="1663">
        <f t="shared" si="17"/>
        <v>-1678556</v>
      </c>
      <c r="BF40" s="1656">
        <f t="shared" si="61"/>
        <v>22204408</v>
      </c>
      <c r="BG40" s="1657">
        <f t="shared" si="61"/>
        <v>17073487</v>
      </c>
      <c r="BH40" s="1658">
        <f t="shared" si="38"/>
        <v>22204408</v>
      </c>
      <c r="BI40" s="1659">
        <f t="shared" si="39"/>
        <v>17073487</v>
      </c>
      <c r="BJ40" s="1660">
        <v>5028040</v>
      </c>
      <c r="BK40" s="1661">
        <v>5549297</v>
      </c>
      <c r="BL40" s="1662">
        <f t="shared" si="18"/>
        <v>5028040</v>
      </c>
      <c r="BM40" s="1663">
        <f t="shared" si="19"/>
        <v>5549297</v>
      </c>
      <c r="BN40" s="1656">
        <f>BN32+BN34</f>
        <v>-7676533</v>
      </c>
      <c r="BO40" s="1656">
        <f>BO32+BO34</f>
        <v>-9122121</v>
      </c>
      <c r="BP40" s="1656">
        <f>BP32+BP34</f>
        <v>0</v>
      </c>
      <c r="BQ40" s="1661">
        <f aca="true" t="shared" si="62" ref="BQ40:CA40">BQ32+BQ34</f>
        <v>0</v>
      </c>
      <c r="BR40" s="1656">
        <f t="shared" si="62"/>
        <v>-2243831</v>
      </c>
      <c r="BS40" s="1657">
        <f t="shared" si="62"/>
        <v>-2575694</v>
      </c>
      <c r="BT40" s="1658">
        <f t="shared" si="40"/>
        <v>-2243831</v>
      </c>
      <c r="BU40" s="1659">
        <f t="shared" si="41"/>
        <v>-2575694</v>
      </c>
      <c r="BV40" s="1656">
        <f t="shared" si="62"/>
        <v>0</v>
      </c>
      <c r="BW40" s="1657">
        <f t="shared" si="62"/>
        <v>0</v>
      </c>
      <c r="BX40" s="1657">
        <f t="shared" si="62"/>
        <v>0</v>
      </c>
      <c r="BY40" s="1661">
        <f t="shared" si="62"/>
        <v>0</v>
      </c>
      <c r="BZ40" s="1661">
        <f t="shared" si="62"/>
        <v>68320448</v>
      </c>
      <c r="CA40" s="1661">
        <f t="shared" si="62"/>
        <v>57287709</v>
      </c>
      <c r="CB40" s="1668">
        <f t="shared" si="22"/>
        <v>68320448</v>
      </c>
      <c r="CC40" s="1669">
        <f t="shared" si="23"/>
        <v>57287709</v>
      </c>
      <c r="CD40" s="1660">
        <v>4430254</v>
      </c>
      <c r="CE40" s="1661">
        <v>4053254</v>
      </c>
      <c r="CF40" s="1670">
        <f t="shared" si="42"/>
        <v>4430254</v>
      </c>
      <c r="CG40" s="1671">
        <f t="shared" si="43"/>
        <v>4053254</v>
      </c>
      <c r="CH40" s="1660">
        <f aca="true" t="shared" si="63" ref="CH40:CM40">CH32+CH34</f>
        <v>597285</v>
      </c>
      <c r="CI40" s="1661">
        <f t="shared" si="63"/>
        <v>-215711</v>
      </c>
      <c r="CJ40" s="1662">
        <f t="shared" si="24"/>
        <v>597285</v>
      </c>
      <c r="CK40" s="1663">
        <f t="shared" si="25"/>
        <v>-215711</v>
      </c>
      <c r="CL40" s="1656">
        <f t="shared" si="63"/>
        <v>357295</v>
      </c>
      <c r="CM40" s="1657">
        <f t="shared" si="63"/>
        <v>-147271</v>
      </c>
      <c r="CN40" s="1658">
        <f t="shared" si="44"/>
        <v>357295</v>
      </c>
      <c r="CO40" s="1659">
        <f t="shared" si="45"/>
        <v>-147271</v>
      </c>
      <c r="CP40" s="1672">
        <f t="shared" si="26"/>
        <v>150097289</v>
      </c>
      <c r="CQ40" s="1673">
        <f t="shared" si="26"/>
        <v>111975576</v>
      </c>
      <c r="CR40" s="1673">
        <f t="shared" si="26"/>
        <v>157773822</v>
      </c>
      <c r="CS40" s="1674">
        <f t="shared" si="26"/>
        <v>121097697</v>
      </c>
      <c r="CT40" s="1675">
        <v>0</v>
      </c>
      <c r="CU40" s="1657">
        <v>0</v>
      </c>
      <c r="CV40" s="1676">
        <f t="shared" si="46"/>
        <v>0</v>
      </c>
      <c r="CW40" s="1677">
        <f t="shared" si="47"/>
        <v>0</v>
      </c>
      <c r="CX40" s="1675">
        <f>CX32+CX34</f>
        <v>154288592</v>
      </c>
      <c r="CY40" s="1657">
        <f>CY32+CY34</f>
        <v>119647900</v>
      </c>
      <c r="CZ40" s="1657">
        <f>CZ32+CZ34</f>
        <v>161965125</v>
      </c>
      <c r="DA40" s="1661">
        <f>DA32+DA34</f>
        <v>128770021</v>
      </c>
    </row>
    <row r="41" spans="1:105" s="75" customFormat="1" ht="28.5">
      <c r="A41" s="565" t="s">
        <v>174</v>
      </c>
      <c r="B41" s="1482">
        <v>0.11</v>
      </c>
      <c r="C41" s="1483">
        <v>0.11</v>
      </c>
      <c r="D41" s="1482">
        <v>0.11</v>
      </c>
      <c r="E41" s="1483">
        <v>0.11</v>
      </c>
      <c r="F41" s="568"/>
      <c r="G41" s="417"/>
      <c r="H41" s="417"/>
      <c r="I41" s="418"/>
      <c r="J41" s="568">
        <v>0.01</v>
      </c>
      <c r="K41" s="417">
        <v>0.01</v>
      </c>
      <c r="L41" s="568">
        <v>0.01</v>
      </c>
      <c r="M41" s="417">
        <v>0.01</v>
      </c>
      <c r="N41" s="568"/>
      <c r="O41" s="417"/>
      <c r="P41" s="417"/>
      <c r="Q41" s="418"/>
      <c r="R41" s="568">
        <v>-0.14</v>
      </c>
      <c r="S41" s="417">
        <v>-6</v>
      </c>
      <c r="T41" s="417"/>
      <c r="U41" s="418"/>
      <c r="V41" s="568"/>
      <c r="W41" s="417"/>
      <c r="X41" s="417"/>
      <c r="Y41" s="418"/>
      <c r="Z41" s="568"/>
      <c r="AA41" s="417"/>
      <c r="AB41" s="417"/>
      <c r="AC41" s="418"/>
      <c r="AD41" s="566">
        <v>2.34</v>
      </c>
      <c r="AE41" s="566">
        <v>2.33</v>
      </c>
      <c r="AF41" s="566"/>
      <c r="AG41" s="567"/>
      <c r="AH41" s="568"/>
      <c r="AI41" s="417"/>
      <c r="AJ41" s="417"/>
      <c r="AK41" s="418"/>
      <c r="AL41" s="568"/>
      <c r="AM41" s="417"/>
      <c r="AN41" s="417"/>
      <c r="AO41" s="418"/>
      <c r="AP41" s="568"/>
      <c r="AQ41" s="417"/>
      <c r="AR41" s="417"/>
      <c r="AS41" s="418"/>
      <c r="AT41" s="568"/>
      <c r="AU41" s="417"/>
      <c r="AV41" s="568"/>
      <c r="AW41" s="418"/>
      <c r="AX41" s="569"/>
      <c r="AY41" s="570"/>
      <c r="AZ41" s="570"/>
      <c r="BA41" s="571"/>
      <c r="BB41" s="568"/>
      <c r="BC41" s="417"/>
      <c r="BD41" s="417"/>
      <c r="BE41" s="418"/>
      <c r="BF41" s="568"/>
      <c r="BG41" s="417"/>
      <c r="BH41" s="417"/>
      <c r="BI41" s="418"/>
      <c r="BJ41" s="568"/>
      <c r="BK41" s="417"/>
      <c r="BL41" s="417"/>
      <c r="BM41" s="418"/>
      <c r="BN41" s="568"/>
      <c r="BO41" s="417"/>
      <c r="BP41" s="417"/>
      <c r="BQ41" s="418"/>
      <c r="BR41" s="568"/>
      <c r="BS41" s="417"/>
      <c r="BT41" s="417"/>
      <c r="BU41" s="418"/>
      <c r="BV41" s="572"/>
      <c r="BW41" s="417"/>
      <c r="BX41" s="417"/>
      <c r="BY41" s="418"/>
      <c r="BZ41" s="573"/>
      <c r="CA41" s="574"/>
      <c r="CB41" s="574"/>
      <c r="CC41" s="575"/>
      <c r="CD41" s="576"/>
      <c r="CE41" s="577"/>
      <c r="CF41" s="577"/>
      <c r="CG41" s="578"/>
      <c r="CH41" s="579"/>
      <c r="CI41" s="580"/>
      <c r="CJ41" s="580"/>
      <c r="CK41" s="581"/>
      <c r="CL41" s="568"/>
      <c r="CM41" s="417"/>
      <c r="CN41" s="417"/>
      <c r="CO41" s="418"/>
      <c r="CP41" s="582"/>
      <c r="CQ41" s="416"/>
      <c r="CR41" s="416"/>
      <c r="CS41" s="583"/>
      <c r="CT41" s="584"/>
      <c r="CU41" s="417"/>
      <c r="CV41" s="417"/>
      <c r="CW41" s="418"/>
      <c r="CX41" s="415"/>
      <c r="CY41" s="416"/>
      <c r="CZ41" s="417"/>
      <c r="DA41" s="418"/>
    </row>
    <row r="42" spans="1:105" ht="14.25">
      <c r="A42" s="390" t="s">
        <v>175</v>
      </c>
      <c r="B42" s="76"/>
      <c r="C42" s="304"/>
      <c r="D42" s="305"/>
      <c r="E42" s="549"/>
      <c r="F42" s="27"/>
      <c r="G42" s="24"/>
      <c r="H42" s="24"/>
      <c r="I42" s="28"/>
      <c r="J42" s="27"/>
      <c r="K42" s="24"/>
      <c r="L42" s="24"/>
      <c r="M42" s="28"/>
      <c r="N42" s="27"/>
      <c r="O42" s="24"/>
      <c r="P42" s="24"/>
      <c r="Q42" s="28"/>
      <c r="R42" s="27"/>
      <c r="S42" s="24"/>
      <c r="T42" s="24"/>
      <c r="U42" s="28"/>
      <c r="V42" s="27"/>
      <c r="W42" s="24"/>
      <c r="X42" s="24"/>
      <c r="Y42" s="28"/>
      <c r="Z42" s="27"/>
      <c r="AA42" s="24"/>
      <c r="AB42" s="24"/>
      <c r="AC42" s="28"/>
      <c r="AD42" s="27"/>
      <c r="AE42" s="24"/>
      <c r="AF42" s="24"/>
      <c r="AG42" s="28"/>
      <c r="AH42" s="27"/>
      <c r="AI42" s="24"/>
      <c r="AJ42" s="24"/>
      <c r="AK42" s="28"/>
      <c r="AL42" s="27"/>
      <c r="AM42" s="24"/>
      <c r="AN42" s="24"/>
      <c r="AO42" s="28"/>
      <c r="AP42" s="27"/>
      <c r="AQ42" s="24"/>
      <c r="AR42" s="24"/>
      <c r="AS42" s="28"/>
      <c r="AT42" s="27"/>
      <c r="AU42" s="24"/>
      <c r="AV42" s="24"/>
      <c r="AW42" s="28"/>
      <c r="AX42" s="29">
        <v>0.11</v>
      </c>
      <c r="AY42" s="30">
        <v>0.12</v>
      </c>
      <c r="AZ42" s="30"/>
      <c r="BA42" s="31"/>
      <c r="BB42" s="27">
        <v>0.97</v>
      </c>
      <c r="BC42" s="24">
        <v>0.15</v>
      </c>
      <c r="BD42" s="24"/>
      <c r="BE42" s="28"/>
      <c r="BF42" s="27">
        <v>0.73</v>
      </c>
      <c r="BG42" s="24">
        <v>0.62</v>
      </c>
      <c r="BH42" s="24"/>
      <c r="BI42" s="28"/>
      <c r="BJ42" s="27"/>
      <c r="BK42" s="24"/>
      <c r="BL42" s="24"/>
      <c r="BM42" s="28"/>
      <c r="BN42" s="27"/>
      <c r="BO42" s="24"/>
      <c r="BP42" s="24"/>
      <c r="BQ42" s="28"/>
      <c r="BR42" s="27"/>
      <c r="BS42" s="24"/>
      <c r="BT42" s="24"/>
      <c r="BU42" s="28"/>
      <c r="BV42" s="294"/>
      <c r="BW42" s="24"/>
      <c r="BX42" s="24"/>
      <c r="BY42" s="28"/>
      <c r="BZ42" s="397"/>
      <c r="CA42" s="393"/>
      <c r="CB42" s="393"/>
      <c r="CC42" s="398"/>
      <c r="CD42" s="33"/>
      <c r="CE42" s="34"/>
      <c r="CF42" s="34"/>
      <c r="CG42" s="35"/>
      <c r="CH42" s="410"/>
      <c r="CI42" s="410"/>
      <c r="CJ42" s="410"/>
      <c r="CK42" s="411"/>
      <c r="CL42" s="27"/>
      <c r="CM42" s="24"/>
      <c r="CN42" s="24"/>
      <c r="CO42" s="28"/>
      <c r="CP42" s="46"/>
      <c r="CQ42" s="43"/>
      <c r="CR42" s="43"/>
      <c r="CS42" s="47"/>
      <c r="CT42" s="25"/>
      <c r="CU42" s="24"/>
      <c r="CV42" s="24"/>
      <c r="CW42" s="28"/>
      <c r="CX42" s="44"/>
      <c r="CY42" s="43"/>
      <c r="CZ42" s="24"/>
      <c r="DA42" s="28"/>
    </row>
    <row r="43" spans="1:105" ht="14.25">
      <c r="A43" s="391" t="s">
        <v>176</v>
      </c>
      <c r="B43" s="551"/>
      <c r="C43" s="94"/>
      <c r="D43" s="314"/>
      <c r="E43" s="552"/>
      <c r="F43" s="27"/>
      <c r="G43" s="24"/>
      <c r="H43" s="24"/>
      <c r="I43" s="28"/>
      <c r="J43" s="27"/>
      <c r="K43" s="24"/>
      <c r="L43" s="3"/>
      <c r="M43" s="4"/>
      <c r="N43" s="27"/>
      <c r="O43" s="24"/>
      <c r="P43" s="24"/>
      <c r="Q43" s="28"/>
      <c r="R43" s="26"/>
      <c r="S43" s="3"/>
      <c r="T43" s="3"/>
      <c r="U43" s="4"/>
      <c r="V43" s="27"/>
      <c r="W43" s="24"/>
      <c r="X43" s="24"/>
      <c r="Y43" s="28"/>
      <c r="Z43" s="27"/>
      <c r="AA43" s="24"/>
      <c r="AB43" s="24"/>
      <c r="AC43" s="28"/>
      <c r="AD43" s="26"/>
      <c r="AE43" s="3"/>
      <c r="AF43" s="3"/>
      <c r="AG43" s="4"/>
      <c r="AH43" s="27"/>
      <c r="AI43" s="24"/>
      <c r="AJ43" s="24"/>
      <c r="AK43" s="28"/>
      <c r="AL43" s="27"/>
      <c r="AM43" s="24"/>
      <c r="AN43" s="24"/>
      <c r="AO43" s="28"/>
      <c r="AP43" s="26">
        <v>2.1</v>
      </c>
      <c r="AQ43" s="3">
        <v>1.89</v>
      </c>
      <c r="AR43" s="3"/>
      <c r="AS43" s="4"/>
      <c r="AT43" s="26">
        <v>1.98</v>
      </c>
      <c r="AU43" s="3">
        <v>1.96</v>
      </c>
      <c r="AV43" s="24"/>
      <c r="AW43" s="28"/>
      <c r="AX43" s="558"/>
      <c r="AY43" s="315"/>
      <c r="AZ43" s="315"/>
      <c r="BA43" s="559"/>
      <c r="BB43" s="26"/>
      <c r="BC43" s="3"/>
      <c r="BD43" s="3"/>
      <c r="BE43" s="4"/>
      <c r="BF43" s="26"/>
      <c r="BG43" s="3"/>
      <c r="BH43" s="3"/>
      <c r="BI43" s="4"/>
      <c r="BJ43" s="27"/>
      <c r="BK43" s="24"/>
      <c r="BL43" s="24"/>
      <c r="BM43" s="28"/>
      <c r="BN43" s="27"/>
      <c r="BO43" s="24"/>
      <c r="BP43" s="24"/>
      <c r="BQ43" s="28"/>
      <c r="BR43" s="27"/>
      <c r="BS43" s="24"/>
      <c r="BT43" s="24"/>
      <c r="BU43" s="28"/>
      <c r="BV43" s="294"/>
      <c r="BW43" s="24"/>
      <c r="BX43" s="24"/>
      <c r="BY43" s="28"/>
      <c r="BZ43" s="401">
        <v>3.72</v>
      </c>
      <c r="CA43" s="396">
        <v>3.54</v>
      </c>
      <c r="CB43" s="396"/>
      <c r="CC43" s="402"/>
      <c r="CD43" s="33"/>
      <c r="CE43" s="34"/>
      <c r="CF43" s="34"/>
      <c r="CG43" s="35"/>
      <c r="CH43" s="406">
        <v>-0.5</v>
      </c>
      <c r="CI43" s="313">
        <v>0.04</v>
      </c>
      <c r="CJ43" s="313"/>
      <c r="CK43" s="409"/>
      <c r="CL43" s="27"/>
      <c r="CM43" s="24"/>
      <c r="CN43" s="24"/>
      <c r="CO43" s="28"/>
      <c r="CP43" s="46"/>
      <c r="CQ43" s="43"/>
      <c r="CR43" s="43"/>
      <c r="CS43" s="47"/>
      <c r="CT43" s="25"/>
      <c r="CU43" s="24"/>
      <c r="CV43" s="24"/>
      <c r="CW43" s="28"/>
      <c r="CX43" s="44"/>
      <c r="CY43" s="43"/>
      <c r="CZ43" s="24"/>
      <c r="DA43" s="28"/>
    </row>
    <row r="44" spans="1:105" ht="15" thickBot="1">
      <c r="A44" s="392" t="s">
        <v>177</v>
      </c>
      <c r="B44" s="553"/>
      <c r="C44" s="554"/>
      <c r="D44" s="555"/>
      <c r="E44" s="556"/>
      <c r="F44" s="79"/>
      <c r="G44" s="80"/>
      <c r="H44" s="80"/>
      <c r="I44" s="81"/>
      <c r="J44" s="79"/>
      <c r="K44" s="80"/>
      <c r="L44" s="80"/>
      <c r="M44" s="81"/>
      <c r="N44" s="79"/>
      <c r="O44" s="80"/>
      <c r="P44" s="80"/>
      <c r="Q44" s="81"/>
      <c r="R44" s="79"/>
      <c r="S44" s="80"/>
      <c r="T44" s="80"/>
      <c r="U44" s="81"/>
      <c r="V44" s="79"/>
      <c r="W44" s="80"/>
      <c r="X44" s="80"/>
      <c r="Y44" s="81"/>
      <c r="Z44" s="79"/>
      <c r="AA44" s="80"/>
      <c r="AB44" s="80"/>
      <c r="AC44" s="81"/>
      <c r="AD44" s="79"/>
      <c r="AE44" s="80"/>
      <c r="AF44" s="80"/>
      <c r="AG44" s="81"/>
      <c r="AH44" s="79"/>
      <c r="AI44" s="80"/>
      <c r="AJ44" s="80"/>
      <c r="AK44" s="81"/>
      <c r="AL44" s="79"/>
      <c r="AM44" s="80"/>
      <c r="AN44" s="80"/>
      <c r="AO44" s="81"/>
      <c r="AP44" s="89">
        <v>2.1</v>
      </c>
      <c r="AQ44" s="90">
        <v>1.88</v>
      </c>
      <c r="AR44" s="90"/>
      <c r="AS44" s="91"/>
      <c r="AT44" s="89">
        <v>1.98</v>
      </c>
      <c r="AU44" s="90">
        <v>1.96</v>
      </c>
      <c r="AV44" s="80"/>
      <c r="AW44" s="81"/>
      <c r="AX44" s="560"/>
      <c r="AY44" s="561"/>
      <c r="AZ44" s="561"/>
      <c r="BA44" s="562"/>
      <c r="BB44" s="79"/>
      <c r="BC44" s="80"/>
      <c r="BD44" s="80"/>
      <c r="BE44" s="81"/>
      <c r="BF44" s="83"/>
      <c r="BG44" s="84"/>
      <c r="BH44" s="84"/>
      <c r="BI44" s="85"/>
      <c r="BJ44" s="79"/>
      <c r="BK44" s="80"/>
      <c r="BL44" s="80"/>
      <c r="BM44" s="81"/>
      <c r="BN44" s="79"/>
      <c r="BO44" s="80"/>
      <c r="BP44" s="80"/>
      <c r="BQ44" s="81"/>
      <c r="BR44" s="79"/>
      <c r="BS44" s="80"/>
      <c r="BT44" s="80"/>
      <c r="BU44" s="81"/>
      <c r="BV44" s="563"/>
      <c r="BW44" s="318"/>
      <c r="BX44" s="318"/>
      <c r="BY44" s="319"/>
      <c r="BZ44" s="403">
        <v>3.72</v>
      </c>
      <c r="CA44" s="404">
        <v>3.54</v>
      </c>
      <c r="CB44" s="404"/>
      <c r="CC44" s="405"/>
      <c r="CD44" s="86"/>
      <c r="CE44" s="87"/>
      <c r="CF44" s="87"/>
      <c r="CG44" s="88"/>
      <c r="CH44" s="412">
        <v>-0.5</v>
      </c>
      <c r="CI44" s="413">
        <v>0.04</v>
      </c>
      <c r="CJ44" s="413"/>
      <c r="CK44" s="414"/>
      <c r="CL44" s="79"/>
      <c r="CM44" s="80"/>
      <c r="CN44" s="80"/>
      <c r="CO44" s="81"/>
      <c r="CP44" s="79"/>
      <c r="CQ44" s="80"/>
      <c r="CR44" s="80"/>
      <c r="CS44" s="81"/>
      <c r="CT44" s="82"/>
      <c r="CU44" s="80"/>
      <c r="CV44" s="80"/>
      <c r="CW44" s="81"/>
      <c r="CX44" s="82"/>
      <c r="CY44" s="80"/>
      <c r="CZ44" s="318"/>
      <c r="DA44" s="319"/>
    </row>
  </sheetData>
  <sheetProtection/>
  <mergeCells count="29">
    <mergeCell ref="BR3:BU3"/>
    <mergeCell ref="AL3:AO3"/>
    <mergeCell ref="AT3:AW3"/>
    <mergeCell ref="AD3:AG3"/>
    <mergeCell ref="AH3:AK3"/>
    <mergeCell ref="BB3:BE3"/>
    <mergeCell ref="BF3:BI3"/>
    <mergeCell ref="BJ3:BM3"/>
    <mergeCell ref="BN3:BQ3"/>
    <mergeCell ref="A1:CY1"/>
    <mergeCell ref="A2:CY2"/>
    <mergeCell ref="A3:A4"/>
    <mergeCell ref="B3:E3"/>
    <mergeCell ref="F3:I3"/>
    <mergeCell ref="J3:M3"/>
    <mergeCell ref="R3:U3"/>
    <mergeCell ref="CT3:CW3"/>
    <mergeCell ref="V3:Y3"/>
    <mergeCell ref="BV3:BY3"/>
    <mergeCell ref="Z3:AC3"/>
    <mergeCell ref="CX3:DA3"/>
    <mergeCell ref="N3:Q3"/>
    <mergeCell ref="BZ3:CC3"/>
    <mergeCell ref="CD3:CG3"/>
    <mergeCell ref="CH3:CK3"/>
    <mergeCell ref="CL3:CO3"/>
    <mergeCell ref="CP3:CS3"/>
    <mergeCell ref="AP3:AS3"/>
    <mergeCell ref="AX3:BA3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DA14"/>
  <sheetViews>
    <sheetView zoomScalePageLayoutView="0" workbookViewId="0" topLeftCell="A1">
      <pane xSplit="1" topLeftCell="CS1" activePane="topRight" state="frozen"/>
      <selection pane="topLeft" activeCell="A1" sqref="A1"/>
      <selection pane="topRight" activeCell="E19" sqref="E19"/>
    </sheetView>
  </sheetViews>
  <sheetFormatPr defaultColWidth="9.140625" defaultRowHeight="15"/>
  <cols>
    <col min="1" max="1" width="71.8515625" style="14" customWidth="1"/>
    <col min="2" max="3" width="11.7109375" style="14" bestFit="1" customWidth="1"/>
    <col min="4" max="5" width="12.8515625" style="14" bestFit="1" customWidth="1"/>
    <col min="6" max="7" width="11.7109375" style="14" bestFit="1" customWidth="1"/>
    <col min="8" max="9" width="12.8515625" style="14" bestFit="1" customWidth="1"/>
    <col min="10" max="11" width="11.7109375" style="14" bestFit="1" customWidth="1"/>
    <col min="12" max="12" width="11.421875" style="14" customWidth="1"/>
    <col min="13" max="13" width="12.8515625" style="14" bestFit="1" customWidth="1"/>
    <col min="14" max="15" width="11.7109375" style="14" bestFit="1" customWidth="1"/>
    <col min="16" max="17" width="12.8515625" style="14" bestFit="1" customWidth="1"/>
    <col min="18" max="19" width="11.7109375" style="14" bestFit="1" customWidth="1"/>
    <col min="20" max="21" width="12.8515625" style="14" bestFit="1" customWidth="1"/>
    <col min="22" max="23" width="11.7109375" style="14" bestFit="1" customWidth="1"/>
    <col min="24" max="25" width="12.8515625" style="14" bestFit="1" customWidth="1"/>
    <col min="26" max="26" width="11.7109375" style="14" bestFit="1" customWidth="1"/>
    <col min="27" max="27" width="11.00390625" style="14" customWidth="1"/>
    <col min="28" max="29" width="12.8515625" style="14" bestFit="1" customWidth="1"/>
    <col min="30" max="30" width="10.421875" style="51" customWidth="1"/>
    <col min="31" max="31" width="11.7109375" style="51" bestFit="1" customWidth="1"/>
    <col min="32" max="33" width="12.8515625" style="51" bestFit="1" customWidth="1"/>
    <col min="34" max="35" width="11.7109375" style="14" bestFit="1" customWidth="1"/>
    <col min="36" max="37" width="12.8515625" style="14" bestFit="1" customWidth="1"/>
    <col min="38" max="39" width="11.7109375" style="14" bestFit="1" customWidth="1"/>
    <col min="40" max="41" width="12.8515625" style="14" bestFit="1" customWidth="1"/>
    <col min="42" max="43" width="11.7109375" style="14" bestFit="1" customWidth="1"/>
    <col min="44" max="45" width="12.8515625" style="14" bestFit="1" customWidth="1"/>
    <col min="46" max="47" width="11.7109375" style="14" bestFit="1" customWidth="1"/>
    <col min="48" max="49" width="12.8515625" style="14" bestFit="1" customWidth="1"/>
    <col min="50" max="51" width="11.7109375" style="51" bestFit="1" customWidth="1"/>
    <col min="52" max="53" width="12.8515625" style="51" bestFit="1" customWidth="1"/>
    <col min="54" max="55" width="11.7109375" style="14" bestFit="1" customWidth="1"/>
    <col min="56" max="57" width="12.8515625" style="14" bestFit="1" customWidth="1"/>
    <col min="58" max="59" width="11.7109375" style="14" bestFit="1" customWidth="1"/>
    <col min="60" max="61" width="12.8515625" style="14" bestFit="1" customWidth="1"/>
    <col min="62" max="63" width="11.7109375" style="14" bestFit="1" customWidth="1"/>
    <col min="64" max="65" width="12.8515625" style="14" bestFit="1" customWidth="1"/>
    <col min="66" max="67" width="11.7109375" style="14" bestFit="1" customWidth="1"/>
    <col min="68" max="69" width="12.8515625" style="14" bestFit="1" customWidth="1"/>
    <col min="70" max="71" width="11.7109375" style="14" bestFit="1" customWidth="1"/>
    <col min="72" max="73" width="12.8515625" style="14" bestFit="1" customWidth="1"/>
    <col min="74" max="75" width="11.7109375" style="14" bestFit="1" customWidth="1"/>
    <col min="76" max="77" width="12.8515625" style="14" bestFit="1" customWidth="1"/>
    <col min="78" max="79" width="11.7109375" style="14" bestFit="1" customWidth="1"/>
    <col min="80" max="81" width="12.8515625" style="14" bestFit="1" customWidth="1"/>
    <col min="82" max="83" width="11.7109375" style="14" bestFit="1" customWidth="1"/>
    <col min="84" max="85" width="12.8515625" style="14" bestFit="1" customWidth="1"/>
    <col min="86" max="87" width="11.7109375" style="14" bestFit="1" customWidth="1"/>
    <col min="88" max="89" width="12.8515625" style="14" bestFit="1" customWidth="1"/>
    <col min="90" max="91" width="11.7109375" style="14" bestFit="1" customWidth="1"/>
    <col min="92" max="93" width="12.8515625" style="14" bestFit="1" customWidth="1"/>
    <col min="94" max="95" width="11.7109375" style="14" bestFit="1" customWidth="1"/>
    <col min="96" max="97" width="12.8515625" style="14" bestFit="1" customWidth="1"/>
    <col min="98" max="99" width="11.7109375" style="14" bestFit="1" customWidth="1"/>
    <col min="100" max="101" width="12.8515625" style="14" bestFit="1" customWidth="1"/>
    <col min="102" max="103" width="11.7109375" style="14" bestFit="1" customWidth="1"/>
    <col min="104" max="105" width="12.8515625" style="14" bestFit="1" customWidth="1"/>
    <col min="106" max="16384" width="9.140625" style="14" customWidth="1"/>
  </cols>
  <sheetData>
    <row r="1" spans="1:103" ht="14.25">
      <c r="A1" s="2042" t="s">
        <v>13</v>
      </c>
      <c r="B1" s="2042"/>
      <c r="C1" s="2042"/>
      <c r="D1" s="2042"/>
      <c r="E1" s="2042"/>
      <c r="F1" s="2042"/>
      <c r="G1" s="2042"/>
      <c r="H1" s="2042"/>
      <c r="I1" s="2042"/>
      <c r="J1" s="2042"/>
      <c r="K1" s="2042"/>
      <c r="L1" s="2042"/>
      <c r="M1" s="2042"/>
      <c r="N1" s="2042"/>
      <c r="O1" s="2042"/>
      <c r="P1" s="2042"/>
      <c r="Q1" s="2042"/>
      <c r="R1" s="2042"/>
      <c r="S1" s="2042"/>
      <c r="T1" s="2042"/>
      <c r="U1" s="2042"/>
      <c r="V1" s="2042"/>
      <c r="W1" s="2042"/>
      <c r="X1" s="2042"/>
      <c r="Y1" s="2042"/>
      <c r="Z1" s="2042"/>
      <c r="AA1" s="2042"/>
      <c r="AB1" s="2042"/>
      <c r="AC1" s="2042"/>
      <c r="AD1" s="2042"/>
      <c r="AE1" s="2042"/>
      <c r="AF1" s="2042"/>
      <c r="AG1" s="2042"/>
      <c r="AH1" s="2042"/>
      <c r="AI1" s="2042"/>
      <c r="AJ1" s="2042"/>
      <c r="AK1" s="2042"/>
      <c r="AL1" s="2042"/>
      <c r="AM1" s="2042"/>
      <c r="AN1" s="2042"/>
      <c r="AO1" s="2042"/>
      <c r="AP1" s="2042"/>
      <c r="AQ1" s="2042"/>
      <c r="AR1" s="2042"/>
      <c r="AS1" s="2042"/>
      <c r="AT1" s="2042"/>
      <c r="AU1" s="2042"/>
      <c r="AV1" s="2042"/>
      <c r="AW1" s="2042"/>
      <c r="AX1" s="2042"/>
      <c r="AY1" s="2042"/>
      <c r="AZ1" s="2042"/>
      <c r="BA1" s="2042"/>
      <c r="BB1" s="2042"/>
      <c r="BC1" s="2042"/>
      <c r="BD1" s="2042"/>
      <c r="BE1" s="2042"/>
      <c r="BF1" s="2042"/>
      <c r="BG1" s="2042"/>
      <c r="BH1" s="2042"/>
      <c r="BI1" s="2042"/>
      <c r="BJ1" s="2042"/>
      <c r="BK1" s="2042"/>
      <c r="BL1" s="2042"/>
      <c r="BM1" s="2042"/>
      <c r="BN1" s="2042"/>
      <c r="BO1" s="2042"/>
      <c r="BP1" s="2042"/>
      <c r="BQ1" s="2042"/>
      <c r="BR1" s="2042"/>
      <c r="BS1" s="2042"/>
      <c r="BT1" s="2042"/>
      <c r="BU1" s="2042"/>
      <c r="BV1" s="2042"/>
      <c r="BW1" s="2042"/>
      <c r="BX1" s="2042"/>
      <c r="BY1" s="2042"/>
      <c r="BZ1" s="2042"/>
      <c r="CA1" s="2042"/>
      <c r="CB1" s="2042"/>
      <c r="CC1" s="2042"/>
      <c r="CD1" s="2042"/>
      <c r="CE1" s="2042"/>
      <c r="CF1" s="2042"/>
      <c r="CG1" s="2042"/>
      <c r="CH1" s="2042"/>
      <c r="CI1" s="2042"/>
      <c r="CJ1" s="2042"/>
      <c r="CK1" s="2042"/>
      <c r="CL1" s="2042"/>
      <c r="CM1" s="2042"/>
      <c r="CN1" s="2042"/>
      <c r="CO1" s="2042"/>
      <c r="CP1" s="2042"/>
      <c r="CQ1" s="2042"/>
      <c r="CR1" s="2042"/>
      <c r="CS1" s="2042"/>
      <c r="CT1" s="2042"/>
      <c r="CU1" s="2042"/>
      <c r="CV1" s="2042"/>
      <c r="CW1" s="2042"/>
      <c r="CX1" s="2042"/>
      <c r="CY1" s="2042"/>
    </row>
    <row r="2" spans="1:103" ht="15" thickBot="1">
      <c r="A2" s="1967"/>
      <c r="B2" s="1967"/>
      <c r="C2" s="1967"/>
      <c r="D2" s="1967"/>
      <c r="E2" s="1967"/>
      <c r="F2" s="1967"/>
      <c r="G2" s="1967"/>
      <c r="H2" s="1967"/>
      <c r="I2" s="1967"/>
      <c r="J2" s="1967"/>
      <c r="K2" s="1967"/>
      <c r="L2" s="1967"/>
      <c r="M2" s="1967"/>
      <c r="N2" s="1967"/>
      <c r="O2" s="1967"/>
      <c r="P2" s="1967"/>
      <c r="Q2" s="1967"/>
      <c r="R2" s="1967"/>
      <c r="S2" s="1967"/>
      <c r="T2" s="1967"/>
      <c r="U2" s="1967"/>
      <c r="V2" s="1967"/>
      <c r="W2" s="1967"/>
      <c r="X2" s="1967"/>
      <c r="Y2" s="1967"/>
      <c r="Z2" s="1967"/>
      <c r="AA2" s="1967"/>
      <c r="AB2" s="1967"/>
      <c r="AC2" s="1967"/>
      <c r="AD2" s="1967"/>
      <c r="AE2" s="1967"/>
      <c r="AF2" s="1967"/>
      <c r="AG2" s="1967"/>
      <c r="AH2" s="1967"/>
      <c r="AI2" s="1967"/>
      <c r="AJ2" s="1967"/>
      <c r="AK2" s="1967"/>
      <c r="AL2" s="1967"/>
      <c r="AM2" s="1967"/>
      <c r="AN2" s="1967"/>
      <c r="AO2" s="1967"/>
      <c r="AP2" s="1967"/>
      <c r="AQ2" s="1967"/>
      <c r="AR2" s="1967"/>
      <c r="AS2" s="1967"/>
      <c r="AT2" s="1967"/>
      <c r="AU2" s="1967"/>
      <c r="AV2" s="1967"/>
      <c r="AW2" s="1967"/>
      <c r="AX2" s="1967"/>
      <c r="AY2" s="1967"/>
      <c r="AZ2" s="1967"/>
      <c r="BA2" s="1967"/>
      <c r="BB2" s="1967"/>
      <c r="BC2" s="1967"/>
      <c r="BD2" s="1967"/>
      <c r="BE2" s="1967"/>
      <c r="BF2" s="1967"/>
      <c r="BG2" s="1967"/>
      <c r="BH2" s="1967"/>
      <c r="BI2" s="1967"/>
      <c r="BJ2" s="1967"/>
      <c r="BK2" s="1967"/>
      <c r="BL2" s="1967"/>
      <c r="BM2" s="1967"/>
      <c r="BN2" s="1967"/>
      <c r="BO2" s="1967"/>
      <c r="BP2" s="1967"/>
      <c r="BQ2" s="1967"/>
      <c r="BR2" s="1967"/>
      <c r="BS2" s="1967"/>
      <c r="BT2" s="1967"/>
      <c r="BU2" s="1967"/>
      <c r="BV2" s="1967"/>
      <c r="BW2" s="1967"/>
      <c r="BX2" s="1967"/>
      <c r="BY2" s="1967"/>
      <c r="BZ2" s="1967"/>
      <c r="CA2" s="1967"/>
      <c r="CB2" s="1967"/>
      <c r="CC2" s="1967"/>
      <c r="CD2" s="1967"/>
      <c r="CE2" s="1967"/>
      <c r="CF2" s="1967"/>
      <c r="CG2" s="1967"/>
      <c r="CH2" s="1967"/>
      <c r="CI2" s="1967"/>
      <c r="CJ2" s="1967"/>
      <c r="CK2" s="1967"/>
      <c r="CL2" s="1967"/>
      <c r="CM2" s="1967"/>
      <c r="CN2" s="1967"/>
      <c r="CO2" s="1967"/>
      <c r="CP2" s="1967"/>
      <c r="CQ2" s="1967"/>
      <c r="CR2" s="1967"/>
      <c r="CS2" s="1967"/>
      <c r="CT2" s="1967"/>
      <c r="CU2" s="1967"/>
      <c r="CV2" s="1967"/>
      <c r="CW2" s="1967"/>
      <c r="CX2" s="1967"/>
      <c r="CY2" s="1967"/>
    </row>
    <row r="3" spans="1:105" ht="14.25">
      <c r="A3" s="2082" t="s">
        <v>0</v>
      </c>
      <c r="B3" s="2097" t="s">
        <v>187</v>
      </c>
      <c r="C3" s="2098"/>
      <c r="D3" s="2098"/>
      <c r="E3" s="2099"/>
      <c r="F3" s="2033" t="s">
        <v>188</v>
      </c>
      <c r="G3" s="2033"/>
      <c r="H3" s="2033"/>
      <c r="I3" s="2034"/>
      <c r="J3" s="2032" t="s">
        <v>189</v>
      </c>
      <c r="K3" s="2033"/>
      <c r="L3" s="2033"/>
      <c r="M3" s="2033"/>
      <c r="N3" s="2022" t="s">
        <v>190</v>
      </c>
      <c r="O3" s="2023"/>
      <c r="P3" s="2023"/>
      <c r="Q3" s="2100"/>
      <c r="R3" s="2022" t="s">
        <v>191</v>
      </c>
      <c r="S3" s="2023"/>
      <c r="T3" s="2023"/>
      <c r="U3" s="2100"/>
      <c r="V3" s="2022" t="s">
        <v>192</v>
      </c>
      <c r="W3" s="2023"/>
      <c r="X3" s="2023"/>
      <c r="Y3" s="2100"/>
      <c r="Z3" s="2022" t="s">
        <v>193</v>
      </c>
      <c r="AA3" s="2023"/>
      <c r="AB3" s="2023"/>
      <c r="AC3" s="2100"/>
      <c r="AD3" s="2101" t="s">
        <v>194</v>
      </c>
      <c r="AE3" s="2102"/>
      <c r="AF3" s="2102"/>
      <c r="AG3" s="2103"/>
      <c r="AH3" s="2022" t="s">
        <v>195</v>
      </c>
      <c r="AI3" s="2023"/>
      <c r="AJ3" s="2023"/>
      <c r="AK3" s="2024"/>
      <c r="AL3" s="2028" t="s">
        <v>196</v>
      </c>
      <c r="AM3" s="2023"/>
      <c r="AN3" s="2023"/>
      <c r="AO3" s="2024"/>
      <c r="AP3" s="2028" t="s">
        <v>197</v>
      </c>
      <c r="AQ3" s="2023"/>
      <c r="AR3" s="2023"/>
      <c r="AS3" s="2024"/>
      <c r="AT3" s="2028" t="s">
        <v>198</v>
      </c>
      <c r="AU3" s="2023"/>
      <c r="AV3" s="2023"/>
      <c r="AW3" s="2024"/>
      <c r="AX3" s="2104" t="s">
        <v>199</v>
      </c>
      <c r="AY3" s="2102"/>
      <c r="AZ3" s="2102"/>
      <c r="BA3" s="2103"/>
      <c r="BB3" s="2022" t="s">
        <v>200</v>
      </c>
      <c r="BC3" s="2023"/>
      <c r="BD3" s="2023"/>
      <c r="BE3" s="2024"/>
      <c r="BF3" s="2094" t="s">
        <v>201</v>
      </c>
      <c r="BG3" s="2095"/>
      <c r="BH3" s="2095"/>
      <c r="BI3" s="2096"/>
      <c r="BJ3" s="2028" t="s">
        <v>202</v>
      </c>
      <c r="BK3" s="2023"/>
      <c r="BL3" s="2023"/>
      <c r="BM3" s="2024"/>
      <c r="BN3" s="2028" t="s">
        <v>203</v>
      </c>
      <c r="BO3" s="2023"/>
      <c r="BP3" s="2023"/>
      <c r="BQ3" s="2024"/>
      <c r="BR3" s="2028" t="s">
        <v>204</v>
      </c>
      <c r="BS3" s="2023"/>
      <c r="BT3" s="2023"/>
      <c r="BU3" s="2024"/>
      <c r="BV3" s="2094" t="s">
        <v>205</v>
      </c>
      <c r="BW3" s="2095"/>
      <c r="BX3" s="2095"/>
      <c r="BY3" s="2096"/>
      <c r="BZ3" s="2028" t="s">
        <v>206</v>
      </c>
      <c r="CA3" s="2023"/>
      <c r="CB3" s="2023"/>
      <c r="CC3" s="2024"/>
      <c r="CD3" s="2028" t="s">
        <v>207</v>
      </c>
      <c r="CE3" s="2023"/>
      <c r="CF3" s="2023"/>
      <c r="CG3" s="2024"/>
      <c r="CH3" s="2028" t="s">
        <v>208</v>
      </c>
      <c r="CI3" s="2023"/>
      <c r="CJ3" s="2023"/>
      <c r="CK3" s="2024"/>
      <c r="CL3" s="2028" t="s">
        <v>209</v>
      </c>
      <c r="CM3" s="2023"/>
      <c r="CN3" s="2023"/>
      <c r="CO3" s="2024"/>
      <c r="CP3" s="2022" t="s">
        <v>1</v>
      </c>
      <c r="CQ3" s="2023"/>
      <c r="CR3" s="2023"/>
      <c r="CS3" s="2024"/>
      <c r="CT3" s="2094" t="s">
        <v>210</v>
      </c>
      <c r="CU3" s="2095"/>
      <c r="CV3" s="2095"/>
      <c r="CW3" s="2096"/>
      <c r="CX3" s="2094" t="s">
        <v>2</v>
      </c>
      <c r="CY3" s="2095"/>
      <c r="CZ3" s="2095"/>
      <c r="DA3" s="2096"/>
    </row>
    <row r="4" spans="1:105" s="708" customFormat="1" ht="15" thickBot="1">
      <c r="A4" s="2083"/>
      <c r="B4" s="832" t="s">
        <v>440</v>
      </c>
      <c r="C4" s="833" t="s">
        <v>441</v>
      </c>
      <c r="D4" s="833" t="s">
        <v>444</v>
      </c>
      <c r="E4" s="830" t="s">
        <v>445</v>
      </c>
      <c r="F4" s="832" t="s">
        <v>440</v>
      </c>
      <c r="G4" s="833" t="s">
        <v>441</v>
      </c>
      <c r="H4" s="833" t="s">
        <v>444</v>
      </c>
      <c r="I4" s="830" t="s">
        <v>445</v>
      </c>
      <c r="J4" s="832" t="s">
        <v>440</v>
      </c>
      <c r="K4" s="833" t="s">
        <v>441</v>
      </c>
      <c r="L4" s="833" t="s">
        <v>444</v>
      </c>
      <c r="M4" s="833" t="s">
        <v>445</v>
      </c>
      <c r="N4" s="832" t="s">
        <v>440</v>
      </c>
      <c r="O4" s="833" t="s">
        <v>441</v>
      </c>
      <c r="P4" s="833" t="s">
        <v>444</v>
      </c>
      <c r="Q4" s="833" t="s">
        <v>445</v>
      </c>
      <c r="R4" s="832" t="s">
        <v>440</v>
      </c>
      <c r="S4" s="833" t="s">
        <v>441</v>
      </c>
      <c r="T4" s="833" t="s">
        <v>444</v>
      </c>
      <c r="U4" s="833" t="s">
        <v>445</v>
      </c>
      <c r="V4" s="832" t="s">
        <v>440</v>
      </c>
      <c r="W4" s="833" t="s">
        <v>441</v>
      </c>
      <c r="X4" s="833" t="s">
        <v>444</v>
      </c>
      <c r="Y4" s="833" t="s">
        <v>445</v>
      </c>
      <c r="Z4" s="832" t="s">
        <v>440</v>
      </c>
      <c r="AA4" s="833" t="s">
        <v>441</v>
      </c>
      <c r="AB4" s="833" t="s">
        <v>444</v>
      </c>
      <c r="AC4" s="833" t="s">
        <v>445</v>
      </c>
      <c r="AD4" s="832" t="s">
        <v>440</v>
      </c>
      <c r="AE4" s="833" t="s">
        <v>441</v>
      </c>
      <c r="AF4" s="833" t="s">
        <v>444</v>
      </c>
      <c r="AG4" s="830" t="s">
        <v>445</v>
      </c>
      <c r="AH4" s="832" t="s">
        <v>440</v>
      </c>
      <c r="AI4" s="833" t="s">
        <v>441</v>
      </c>
      <c r="AJ4" s="833" t="s">
        <v>444</v>
      </c>
      <c r="AK4" s="830" t="s">
        <v>445</v>
      </c>
      <c r="AL4" s="833" t="s">
        <v>440</v>
      </c>
      <c r="AM4" s="833" t="s">
        <v>441</v>
      </c>
      <c r="AN4" s="833" t="s">
        <v>444</v>
      </c>
      <c r="AO4" s="830" t="s">
        <v>445</v>
      </c>
      <c r="AP4" s="832" t="s">
        <v>440</v>
      </c>
      <c r="AQ4" s="833" t="s">
        <v>441</v>
      </c>
      <c r="AR4" s="833" t="s">
        <v>444</v>
      </c>
      <c r="AS4" s="830" t="s">
        <v>445</v>
      </c>
      <c r="AT4" s="832" t="s">
        <v>440</v>
      </c>
      <c r="AU4" s="833" t="s">
        <v>441</v>
      </c>
      <c r="AV4" s="833" t="s">
        <v>444</v>
      </c>
      <c r="AW4" s="830" t="s">
        <v>445</v>
      </c>
      <c r="AX4" s="833" t="s">
        <v>440</v>
      </c>
      <c r="AY4" s="833" t="s">
        <v>441</v>
      </c>
      <c r="AZ4" s="833" t="s">
        <v>444</v>
      </c>
      <c r="BA4" s="830" t="s">
        <v>445</v>
      </c>
      <c r="BB4" s="832" t="s">
        <v>440</v>
      </c>
      <c r="BC4" s="833" t="s">
        <v>441</v>
      </c>
      <c r="BD4" s="833" t="s">
        <v>444</v>
      </c>
      <c r="BE4" s="830" t="s">
        <v>445</v>
      </c>
      <c r="BF4" s="833" t="s">
        <v>440</v>
      </c>
      <c r="BG4" s="833" t="s">
        <v>441</v>
      </c>
      <c r="BH4" s="833" t="s">
        <v>444</v>
      </c>
      <c r="BI4" s="830" t="s">
        <v>445</v>
      </c>
      <c r="BJ4" s="833" t="s">
        <v>440</v>
      </c>
      <c r="BK4" s="833" t="s">
        <v>441</v>
      </c>
      <c r="BL4" s="833" t="s">
        <v>444</v>
      </c>
      <c r="BM4" s="830" t="s">
        <v>445</v>
      </c>
      <c r="BN4" s="833" t="s">
        <v>440</v>
      </c>
      <c r="BO4" s="833" t="s">
        <v>441</v>
      </c>
      <c r="BP4" s="833" t="s">
        <v>444</v>
      </c>
      <c r="BQ4" s="830" t="s">
        <v>445</v>
      </c>
      <c r="BR4" s="832" t="s">
        <v>440</v>
      </c>
      <c r="BS4" s="833" t="s">
        <v>441</v>
      </c>
      <c r="BT4" s="833" t="s">
        <v>444</v>
      </c>
      <c r="BU4" s="830" t="s">
        <v>445</v>
      </c>
      <c r="BV4" s="833" t="s">
        <v>440</v>
      </c>
      <c r="BW4" s="833" t="s">
        <v>441</v>
      </c>
      <c r="BX4" s="833" t="s">
        <v>444</v>
      </c>
      <c r="BY4" s="830" t="s">
        <v>445</v>
      </c>
      <c r="BZ4" s="832" t="s">
        <v>440</v>
      </c>
      <c r="CA4" s="833" t="s">
        <v>441</v>
      </c>
      <c r="CB4" s="833" t="s">
        <v>444</v>
      </c>
      <c r="CC4" s="830" t="s">
        <v>445</v>
      </c>
      <c r="CD4" s="833" t="s">
        <v>440</v>
      </c>
      <c r="CE4" s="833" t="s">
        <v>441</v>
      </c>
      <c r="CF4" s="833" t="s">
        <v>444</v>
      </c>
      <c r="CG4" s="830" t="s">
        <v>445</v>
      </c>
      <c r="CH4" s="833" t="s">
        <v>440</v>
      </c>
      <c r="CI4" s="833" t="s">
        <v>441</v>
      </c>
      <c r="CJ4" s="833" t="s">
        <v>444</v>
      </c>
      <c r="CK4" s="830" t="s">
        <v>445</v>
      </c>
      <c r="CL4" s="833" t="s">
        <v>440</v>
      </c>
      <c r="CM4" s="833" t="s">
        <v>441</v>
      </c>
      <c r="CN4" s="833" t="s">
        <v>444</v>
      </c>
      <c r="CO4" s="830" t="s">
        <v>445</v>
      </c>
      <c r="CP4" s="832" t="s">
        <v>440</v>
      </c>
      <c r="CQ4" s="833" t="s">
        <v>441</v>
      </c>
      <c r="CR4" s="833" t="s">
        <v>444</v>
      </c>
      <c r="CS4" s="830" t="s">
        <v>445</v>
      </c>
      <c r="CT4" s="832" t="s">
        <v>440</v>
      </c>
      <c r="CU4" s="833" t="s">
        <v>441</v>
      </c>
      <c r="CV4" s="833" t="s">
        <v>444</v>
      </c>
      <c r="CW4" s="830" t="s">
        <v>445</v>
      </c>
      <c r="CX4" s="833" t="s">
        <v>440</v>
      </c>
      <c r="CY4" s="833" t="s">
        <v>441</v>
      </c>
      <c r="CZ4" s="833" t="s">
        <v>444</v>
      </c>
      <c r="DA4" s="830" t="s">
        <v>445</v>
      </c>
    </row>
    <row r="5" spans="1:105" s="1234" customFormat="1" ht="13.5">
      <c r="A5" s="600" t="s">
        <v>3</v>
      </c>
      <c r="B5" s="809">
        <v>7721</v>
      </c>
      <c r="C5" s="804">
        <v>3089</v>
      </c>
      <c r="D5" s="804">
        <f aca="true" t="shared" si="0" ref="D5:E10">B5</f>
        <v>7721</v>
      </c>
      <c r="E5" s="805">
        <f t="shared" si="0"/>
        <v>3089</v>
      </c>
      <c r="F5" s="803"/>
      <c r="G5" s="804"/>
      <c r="H5" s="804"/>
      <c r="I5" s="805"/>
      <c r="J5" s="809">
        <v>75</v>
      </c>
      <c r="K5" s="804">
        <v>291</v>
      </c>
      <c r="L5" s="804">
        <f aca="true" t="shared" si="1" ref="L5:M10">J5</f>
        <v>75</v>
      </c>
      <c r="M5" s="1243">
        <f t="shared" si="1"/>
        <v>291</v>
      </c>
      <c r="N5" s="809">
        <v>1776</v>
      </c>
      <c r="O5" s="804">
        <v>2027</v>
      </c>
      <c r="P5" s="804">
        <f aca="true" t="shared" si="2" ref="P5:Q10">N5</f>
        <v>1776</v>
      </c>
      <c r="Q5" s="1243">
        <f t="shared" si="2"/>
        <v>2027</v>
      </c>
      <c r="R5" s="809"/>
      <c r="S5" s="804"/>
      <c r="T5" s="804"/>
      <c r="U5" s="1243"/>
      <c r="V5" s="809"/>
      <c r="W5" s="804"/>
      <c r="X5" s="804"/>
      <c r="Y5" s="1243"/>
      <c r="Z5" s="809"/>
      <c r="AA5" s="804"/>
      <c r="AB5" s="804"/>
      <c r="AC5" s="1243"/>
      <c r="AD5" s="809"/>
      <c r="AE5" s="804">
        <v>-2</v>
      </c>
      <c r="AF5" s="804">
        <f>AD5</f>
        <v>0</v>
      </c>
      <c r="AG5" s="805">
        <f>AE5</f>
        <v>-2</v>
      </c>
      <c r="AH5" s="809"/>
      <c r="AI5" s="804"/>
      <c r="AJ5" s="804">
        <f>AH5</f>
        <v>0</v>
      </c>
      <c r="AK5" s="805">
        <f>AI5</f>
        <v>0</v>
      </c>
      <c r="AL5" s="803">
        <v>585</v>
      </c>
      <c r="AM5" s="804">
        <v>563</v>
      </c>
      <c r="AN5" s="804">
        <f>AL5</f>
        <v>585</v>
      </c>
      <c r="AO5" s="805">
        <f>AM5</f>
        <v>563</v>
      </c>
      <c r="AP5" s="803">
        <v>1564</v>
      </c>
      <c r="AQ5" s="20">
        <v>497</v>
      </c>
      <c r="AR5" s="804">
        <f>AP5</f>
        <v>1564</v>
      </c>
      <c r="AS5" s="805">
        <f>AQ5</f>
        <v>497</v>
      </c>
      <c r="AT5" s="803">
        <v>106666</v>
      </c>
      <c r="AU5" s="804">
        <v>8148</v>
      </c>
      <c r="AV5" s="804">
        <f>AT5</f>
        <v>106666</v>
      </c>
      <c r="AW5" s="805">
        <f>AU5</f>
        <v>8148</v>
      </c>
      <c r="AX5" s="803"/>
      <c r="AY5" s="804"/>
      <c r="AZ5" s="804">
        <f>AX5</f>
        <v>0</v>
      </c>
      <c r="BA5" s="805">
        <f>AY5</f>
        <v>0</v>
      </c>
      <c r="BB5" s="591"/>
      <c r="BC5" s="52"/>
      <c r="BD5" s="52"/>
      <c r="BE5" s="293"/>
      <c r="BF5" s="803">
        <v>46</v>
      </c>
      <c r="BG5" s="804">
        <v>40</v>
      </c>
      <c r="BH5" s="804">
        <f aca="true" t="shared" si="3" ref="BH5:BI10">BF5</f>
        <v>46</v>
      </c>
      <c r="BI5" s="805">
        <f t="shared" si="3"/>
        <v>40</v>
      </c>
      <c r="BJ5" s="803">
        <v>4691</v>
      </c>
      <c r="BK5" s="804">
        <v>963</v>
      </c>
      <c r="BL5" s="804">
        <f>BJ5</f>
        <v>4691</v>
      </c>
      <c r="BM5" s="805">
        <f>BK5</f>
        <v>963</v>
      </c>
      <c r="BN5" s="803">
        <v>108</v>
      </c>
      <c r="BO5" s="804">
        <v>89</v>
      </c>
      <c r="BP5" s="804">
        <f aca="true" t="shared" si="4" ref="BP5:BQ10">BN5</f>
        <v>108</v>
      </c>
      <c r="BQ5" s="804">
        <f t="shared" si="4"/>
        <v>89</v>
      </c>
      <c r="BR5" s="803"/>
      <c r="BS5" s="804">
        <v>-1</v>
      </c>
      <c r="BT5" s="804">
        <f aca="true" t="shared" si="5" ref="BT5:BU10">BR5</f>
        <v>0</v>
      </c>
      <c r="BU5" s="805">
        <f t="shared" si="5"/>
        <v>-1</v>
      </c>
      <c r="BV5" s="803"/>
      <c r="BW5" s="804"/>
      <c r="BX5" s="804"/>
      <c r="BY5" s="805"/>
      <c r="BZ5" s="1244">
        <v>3112</v>
      </c>
      <c r="CA5" s="1225">
        <v>10227</v>
      </c>
      <c r="CB5" s="1225">
        <f aca="true" t="shared" si="6" ref="CB5:CC10">BZ5</f>
        <v>3112</v>
      </c>
      <c r="CC5" s="1226">
        <f t="shared" si="6"/>
        <v>10227</v>
      </c>
      <c r="CD5" s="803"/>
      <c r="CE5" s="804"/>
      <c r="CF5" s="804"/>
      <c r="CG5" s="805"/>
      <c r="CH5" s="803"/>
      <c r="CI5" s="804">
        <v>13</v>
      </c>
      <c r="CJ5" s="804">
        <f aca="true" t="shared" si="7" ref="CJ5:CK10">CH5</f>
        <v>0</v>
      </c>
      <c r="CK5" s="805">
        <f t="shared" si="7"/>
        <v>13</v>
      </c>
      <c r="CL5" s="803">
        <v>5324</v>
      </c>
      <c r="CM5" s="804">
        <v>2239</v>
      </c>
      <c r="CN5" s="804">
        <f aca="true" t="shared" si="8" ref="CN5:CO10">CL5</f>
        <v>5324</v>
      </c>
      <c r="CO5" s="805">
        <f t="shared" si="8"/>
        <v>2239</v>
      </c>
      <c r="CP5" s="809">
        <f>SUM(B5+F5+J5+N5+R5+V5+Z5+AD5+AH5+AL5+AP5+AT5+AX5+AD5+BF5+BJ5+BN5+BR5+BV5+BZ5+CD5+CH5+CL5)</f>
        <v>131668</v>
      </c>
      <c r="CQ5" s="803">
        <f>SUM(C5+G5+K5+O5+S5+W5+AA5+AE5+AI5+AM5+AQ5+AU5+AY5+AE5+BG5+BK5+BO5+BS5+BW5+CA5+CE5+CI5+CM5)</f>
        <v>28181</v>
      </c>
      <c r="CR5" s="803">
        <f>SUM(D5+H5+L5+P5+T5+X5+AB5+AF5+AJ5+AN5+AR5+AV5+AZ5+AF5+BH5+BL5+BP5+BT5+BX5+CB5+CF5+CJ5+CN5)</f>
        <v>131668</v>
      </c>
      <c r="CS5" s="1245">
        <f>SUM(E5+I5+M5+Q5+U5+Y5+AC5+AG5+AK5+AO5+AS5+AW5+BA5+AG5+BI5+BM5+BQ5+BU5+BY5+CC5+CG5+CK5+CO5)</f>
        <v>28181</v>
      </c>
      <c r="CT5" s="803">
        <v>126072</v>
      </c>
      <c r="CU5" s="804">
        <v>209595</v>
      </c>
      <c r="CV5" s="804">
        <f aca="true" t="shared" si="9" ref="CV5:CW11">CT5</f>
        <v>126072</v>
      </c>
      <c r="CW5" s="805">
        <f t="shared" si="9"/>
        <v>209595</v>
      </c>
      <c r="CX5" s="803">
        <f>CP5+CT5</f>
        <v>257740</v>
      </c>
      <c r="CY5" s="803">
        <f aca="true" t="shared" si="10" ref="CY5:DA14">CQ5+CU5</f>
        <v>237776</v>
      </c>
      <c r="CZ5" s="803">
        <f t="shared" si="10"/>
        <v>257740</v>
      </c>
      <c r="DA5" s="1245">
        <f t="shared" si="10"/>
        <v>237776</v>
      </c>
    </row>
    <row r="6" spans="1:105" s="1234" customFormat="1" ht="13.5">
      <c r="A6" s="600" t="s">
        <v>4</v>
      </c>
      <c r="B6" s="17">
        <v>169696</v>
      </c>
      <c r="C6" s="16">
        <v>221956</v>
      </c>
      <c r="D6" s="804">
        <f t="shared" si="0"/>
        <v>169696</v>
      </c>
      <c r="E6" s="805">
        <f t="shared" si="0"/>
        <v>221956</v>
      </c>
      <c r="F6" s="46"/>
      <c r="G6" s="43"/>
      <c r="H6" s="43"/>
      <c r="I6" s="47"/>
      <c r="J6" s="44"/>
      <c r="K6" s="43"/>
      <c r="L6" s="804">
        <f t="shared" si="1"/>
        <v>0</v>
      </c>
      <c r="M6" s="1243">
        <f t="shared" si="1"/>
        <v>0</v>
      </c>
      <c r="N6" s="44">
        <v>3359277</v>
      </c>
      <c r="O6" s="43">
        <v>1537582</v>
      </c>
      <c r="P6" s="804">
        <f t="shared" si="2"/>
        <v>3359277</v>
      </c>
      <c r="Q6" s="1243">
        <f t="shared" si="2"/>
        <v>1537582</v>
      </c>
      <c r="R6" s="44">
        <v>8723</v>
      </c>
      <c r="S6" s="43"/>
      <c r="T6" s="43">
        <f aca="true" t="shared" si="11" ref="T6:U10">R6</f>
        <v>8723</v>
      </c>
      <c r="U6" s="1510">
        <f t="shared" si="11"/>
        <v>0</v>
      </c>
      <c r="V6" s="44">
        <v>2444112</v>
      </c>
      <c r="W6" s="43">
        <v>1764010</v>
      </c>
      <c r="X6" s="43">
        <f aca="true" t="shared" si="12" ref="X6:Y11">V6</f>
        <v>2444112</v>
      </c>
      <c r="Y6" s="1510">
        <f t="shared" si="12"/>
        <v>1764010</v>
      </c>
      <c r="Z6" s="44">
        <v>2596</v>
      </c>
      <c r="AA6" s="43">
        <v>1452</v>
      </c>
      <c r="AB6" s="43">
        <f aca="true" t="shared" si="13" ref="AB6:AC11">Z6</f>
        <v>2596</v>
      </c>
      <c r="AC6" s="1510">
        <f t="shared" si="13"/>
        <v>1452</v>
      </c>
      <c r="AD6" s="44"/>
      <c r="AE6" s="43"/>
      <c r="AF6" s="804">
        <f aca="true" t="shared" si="14" ref="AF6:AF11">AD6</f>
        <v>0</v>
      </c>
      <c r="AG6" s="805">
        <f aca="true" t="shared" si="15" ref="AG6:AG11">AE6</f>
        <v>0</v>
      </c>
      <c r="AH6" s="44">
        <v>106</v>
      </c>
      <c r="AI6" s="43">
        <v>40</v>
      </c>
      <c r="AJ6" s="804">
        <f aca="true" t="shared" si="16" ref="AJ6:AJ11">AH6</f>
        <v>106</v>
      </c>
      <c r="AK6" s="805">
        <f aca="true" t="shared" si="17" ref="AK6:AK11">AI6</f>
        <v>40</v>
      </c>
      <c r="AL6" s="46">
        <v>9977</v>
      </c>
      <c r="AM6" s="43">
        <v>2213</v>
      </c>
      <c r="AN6" s="804">
        <f aca="true" t="shared" si="18" ref="AN6:AN11">AL6</f>
        <v>9977</v>
      </c>
      <c r="AO6" s="805">
        <f aca="true" t="shared" si="19" ref="AO6:AO11">AM6</f>
        <v>2213</v>
      </c>
      <c r="AP6" s="46">
        <v>4948590</v>
      </c>
      <c r="AQ6" s="1470">
        <v>5662939</v>
      </c>
      <c r="AR6" s="804">
        <f aca="true" t="shared" si="20" ref="AR6:AR11">AP6</f>
        <v>4948590</v>
      </c>
      <c r="AS6" s="805">
        <f aca="true" t="shared" si="21" ref="AS6:AS11">AQ6</f>
        <v>5662939</v>
      </c>
      <c r="AT6" s="46">
        <v>225755</v>
      </c>
      <c r="AU6" s="43">
        <v>50500</v>
      </c>
      <c r="AV6" s="804">
        <f aca="true" t="shared" si="22" ref="AV6:AV11">AT6</f>
        <v>225755</v>
      </c>
      <c r="AW6" s="805">
        <f aca="true" t="shared" si="23" ref="AW6:AW11">AU6</f>
        <v>50500</v>
      </c>
      <c r="AX6" s="1235">
        <v>4884</v>
      </c>
      <c r="AY6" s="1236">
        <v>3365</v>
      </c>
      <c r="AZ6" s="804">
        <f aca="true" t="shared" si="24" ref="AZ6:AZ11">AX6</f>
        <v>4884</v>
      </c>
      <c r="BA6" s="805">
        <f aca="true" t="shared" si="25" ref="BA6:BA11">AY6</f>
        <v>3365</v>
      </c>
      <c r="BB6" s="44">
        <v>12614</v>
      </c>
      <c r="BC6" s="43">
        <v>17611</v>
      </c>
      <c r="BD6" s="43">
        <f aca="true" t="shared" si="26" ref="BD6:BE10">BB6</f>
        <v>12614</v>
      </c>
      <c r="BE6" s="47">
        <f t="shared" si="26"/>
        <v>17611</v>
      </c>
      <c r="BF6" s="46">
        <v>1057045</v>
      </c>
      <c r="BG6" s="43">
        <v>92579</v>
      </c>
      <c r="BH6" s="804">
        <f t="shared" si="3"/>
        <v>1057045</v>
      </c>
      <c r="BI6" s="805">
        <f t="shared" si="3"/>
        <v>92579</v>
      </c>
      <c r="BJ6" s="46">
        <v>538938</v>
      </c>
      <c r="BK6" s="43">
        <v>32202</v>
      </c>
      <c r="BL6" s="804">
        <f aca="true" t="shared" si="27" ref="BL6:BL11">BJ6</f>
        <v>538938</v>
      </c>
      <c r="BM6" s="805">
        <f aca="true" t="shared" si="28" ref="BM6:BM11">BK6</f>
        <v>32202</v>
      </c>
      <c r="BN6" s="46">
        <v>24765</v>
      </c>
      <c r="BO6" s="43">
        <v>16740</v>
      </c>
      <c r="BP6" s="804">
        <f t="shared" si="4"/>
        <v>24765</v>
      </c>
      <c r="BQ6" s="804">
        <f t="shared" si="4"/>
        <v>16740</v>
      </c>
      <c r="BR6" s="46"/>
      <c r="BS6" s="43"/>
      <c r="BT6" s="804">
        <f t="shared" si="5"/>
        <v>0</v>
      </c>
      <c r="BU6" s="805">
        <f t="shared" si="5"/>
        <v>0</v>
      </c>
      <c r="BV6" s="1237"/>
      <c r="BW6" s="43"/>
      <c r="BX6" s="43"/>
      <c r="BY6" s="47"/>
      <c r="BZ6" s="1231">
        <v>134948</v>
      </c>
      <c r="CA6" s="1232">
        <v>98536</v>
      </c>
      <c r="CB6" s="1225">
        <f t="shared" si="6"/>
        <v>134948</v>
      </c>
      <c r="CC6" s="1226">
        <f t="shared" si="6"/>
        <v>98536</v>
      </c>
      <c r="CD6" s="1238">
        <v>1</v>
      </c>
      <c r="CE6" s="1239"/>
      <c r="CF6" s="1239">
        <f aca="true" t="shared" si="29" ref="CF6:CG10">CD6</f>
        <v>1</v>
      </c>
      <c r="CG6" s="1240">
        <f t="shared" si="29"/>
        <v>0</v>
      </c>
      <c r="CH6" s="39">
        <v>402024</v>
      </c>
      <c r="CI6" s="40">
        <v>30285</v>
      </c>
      <c r="CJ6" s="804">
        <f t="shared" si="7"/>
        <v>402024</v>
      </c>
      <c r="CK6" s="805">
        <f t="shared" si="7"/>
        <v>30285</v>
      </c>
      <c r="CL6" s="46">
        <v>29</v>
      </c>
      <c r="CM6" s="43"/>
      <c r="CN6" s="804">
        <f t="shared" si="8"/>
        <v>29</v>
      </c>
      <c r="CO6" s="805">
        <f t="shared" si="8"/>
        <v>0</v>
      </c>
      <c r="CP6" s="17">
        <f aca="true" t="shared" si="30" ref="CP6:CP14">SUM(B6+F6+J6+N6+R6+V6+Z6+AD6+AH6+AL6+AP6+AT6+AX6+AD6+BF6+BJ6+BN6+BR6+BV6+BZ6+CD6+CH6+CL6)</f>
        <v>13331466</v>
      </c>
      <c r="CQ6" s="18">
        <f aca="true" t="shared" si="31" ref="CQ6:CQ14">SUM(C6+G6+K6+O6+S6+W6+AA6+AE6+AI6+AM6+AQ6+AU6+AY6+AE6+BG6+BK6+BO6+BS6+BW6+CA6+CE6+CI6+CM6)</f>
        <v>9514399</v>
      </c>
      <c r="CR6" s="18">
        <f aca="true" t="shared" si="32" ref="CR6:CR14">SUM(D6+H6+L6+P6+T6+X6+AB6+AF6+AJ6+AN6+AR6+AV6+AZ6+AF6+BH6+BL6+BP6+BT6+BX6+CB6+CF6+CJ6+CN6)</f>
        <v>13331466</v>
      </c>
      <c r="CS6" s="548">
        <f aca="true" t="shared" si="33" ref="CS6:CS14">SUM(E6+I6+M6+Q6+U6+Y6+AC6+AG6+AK6+AO6+AS6+AW6+BA6+AG6+BI6+BM6+BQ6+BU6+BY6+CC6+CG6+CK6+CO6)</f>
        <v>9514399</v>
      </c>
      <c r="CT6" s="39">
        <v>10972</v>
      </c>
      <c r="CU6" s="40">
        <v>12494</v>
      </c>
      <c r="CV6" s="804">
        <f t="shared" si="9"/>
        <v>10972</v>
      </c>
      <c r="CW6" s="805">
        <f t="shared" si="9"/>
        <v>12494</v>
      </c>
      <c r="CX6" s="18">
        <f aca="true" t="shared" si="34" ref="CX6:CX14">CP6+CT6</f>
        <v>13342438</v>
      </c>
      <c r="CY6" s="18">
        <f t="shared" si="10"/>
        <v>9526893</v>
      </c>
      <c r="CZ6" s="18">
        <f t="shared" si="10"/>
        <v>13342438</v>
      </c>
      <c r="DA6" s="548">
        <f t="shared" si="10"/>
        <v>9526893</v>
      </c>
    </row>
    <row r="7" spans="1:105" s="1234" customFormat="1" ht="13.5">
      <c r="A7" s="600" t="s">
        <v>5</v>
      </c>
      <c r="B7" s="17">
        <v>109099</v>
      </c>
      <c r="C7" s="16">
        <v>1266</v>
      </c>
      <c r="D7" s="804">
        <f t="shared" si="0"/>
        <v>109099</v>
      </c>
      <c r="E7" s="805">
        <f t="shared" si="0"/>
        <v>1266</v>
      </c>
      <c r="F7" s="46"/>
      <c r="G7" s="43"/>
      <c r="H7" s="43"/>
      <c r="I7" s="47"/>
      <c r="J7" s="44"/>
      <c r="K7" s="43"/>
      <c r="L7" s="804">
        <f t="shared" si="1"/>
        <v>0</v>
      </c>
      <c r="M7" s="1243">
        <f t="shared" si="1"/>
        <v>0</v>
      </c>
      <c r="N7" s="44">
        <v>1263454</v>
      </c>
      <c r="O7" s="43">
        <v>2216436</v>
      </c>
      <c r="P7" s="804">
        <f t="shared" si="2"/>
        <v>1263454</v>
      </c>
      <c r="Q7" s="1243">
        <f t="shared" si="2"/>
        <v>2216436</v>
      </c>
      <c r="R7" s="44">
        <v>64</v>
      </c>
      <c r="S7" s="43"/>
      <c r="T7" s="43">
        <f t="shared" si="11"/>
        <v>64</v>
      </c>
      <c r="U7" s="1510">
        <f t="shared" si="11"/>
        <v>0</v>
      </c>
      <c r="V7" s="44">
        <v>2507</v>
      </c>
      <c r="W7" s="43">
        <v>1616</v>
      </c>
      <c r="X7" s="43">
        <f t="shared" si="12"/>
        <v>2507</v>
      </c>
      <c r="Y7" s="1510">
        <f t="shared" si="12"/>
        <v>1616</v>
      </c>
      <c r="Z7" s="44">
        <v>257170</v>
      </c>
      <c r="AA7" s="43">
        <v>76023</v>
      </c>
      <c r="AB7" s="43">
        <f t="shared" si="13"/>
        <v>257170</v>
      </c>
      <c r="AC7" s="1510">
        <f t="shared" si="13"/>
        <v>76023</v>
      </c>
      <c r="AD7" s="44"/>
      <c r="AE7" s="43"/>
      <c r="AF7" s="804">
        <f t="shared" si="14"/>
        <v>0</v>
      </c>
      <c r="AG7" s="805">
        <f t="shared" si="15"/>
        <v>0</v>
      </c>
      <c r="AH7" s="44"/>
      <c r="AI7" s="43"/>
      <c r="AJ7" s="804">
        <f t="shared" si="16"/>
        <v>0</v>
      </c>
      <c r="AK7" s="805">
        <f t="shared" si="17"/>
        <v>0</v>
      </c>
      <c r="AL7" s="46">
        <v>114</v>
      </c>
      <c r="AM7" s="43"/>
      <c r="AN7" s="804">
        <f t="shared" si="18"/>
        <v>114</v>
      </c>
      <c r="AO7" s="805">
        <f t="shared" si="19"/>
        <v>0</v>
      </c>
      <c r="AP7" s="46">
        <v>1037314</v>
      </c>
      <c r="AQ7" s="1470">
        <v>209251</v>
      </c>
      <c r="AR7" s="804">
        <f t="shared" si="20"/>
        <v>1037314</v>
      </c>
      <c r="AS7" s="805">
        <f t="shared" si="21"/>
        <v>209251</v>
      </c>
      <c r="AT7" s="46">
        <v>15234</v>
      </c>
      <c r="AU7" s="43">
        <v>1447</v>
      </c>
      <c r="AV7" s="804">
        <f t="shared" si="22"/>
        <v>15234</v>
      </c>
      <c r="AW7" s="805">
        <f t="shared" si="23"/>
        <v>1447</v>
      </c>
      <c r="AX7" s="1235"/>
      <c r="AY7" s="1236"/>
      <c r="AZ7" s="804">
        <f t="shared" si="24"/>
        <v>0</v>
      </c>
      <c r="BA7" s="805">
        <f t="shared" si="25"/>
        <v>0</v>
      </c>
      <c r="BB7" s="44"/>
      <c r="BC7" s="43"/>
      <c r="BD7" s="43">
        <f t="shared" si="26"/>
        <v>0</v>
      </c>
      <c r="BE7" s="47">
        <f t="shared" si="26"/>
        <v>0</v>
      </c>
      <c r="BF7" s="46">
        <v>316239</v>
      </c>
      <c r="BG7" s="43">
        <v>271652</v>
      </c>
      <c r="BH7" s="804">
        <f t="shared" si="3"/>
        <v>316239</v>
      </c>
      <c r="BI7" s="805">
        <f t="shared" si="3"/>
        <v>271652</v>
      </c>
      <c r="BJ7" s="46"/>
      <c r="BK7" s="43"/>
      <c r="BL7" s="804">
        <f t="shared" si="27"/>
        <v>0</v>
      </c>
      <c r="BM7" s="805">
        <f t="shared" si="28"/>
        <v>0</v>
      </c>
      <c r="BN7" s="46">
        <v>1513</v>
      </c>
      <c r="BO7" s="43">
        <v>1926</v>
      </c>
      <c r="BP7" s="804">
        <f t="shared" si="4"/>
        <v>1513</v>
      </c>
      <c r="BQ7" s="804">
        <f t="shared" si="4"/>
        <v>1926</v>
      </c>
      <c r="BR7" s="46"/>
      <c r="BS7" s="43"/>
      <c r="BT7" s="804">
        <f t="shared" si="5"/>
        <v>0</v>
      </c>
      <c r="BU7" s="805">
        <f t="shared" si="5"/>
        <v>0</v>
      </c>
      <c r="BV7" s="1237"/>
      <c r="BW7" s="43"/>
      <c r="BX7" s="43"/>
      <c r="BY7" s="47"/>
      <c r="BZ7" s="1231">
        <v>2003</v>
      </c>
      <c r="CA7" s="1232">
        <v>5037</v>
      </c>
      <c r="CB7" s="1225">
        <f t="shared" si="6"/>
        <v>2003</v>
      </c>
      <c r="CC7" s="1226">
        <f t="shared" si="6"/>
        <v>5037</v>
      </c>
      <c r="CD7" s="1238">
        <v>111035</v>
      </c>
      <c r="CE7" s="1239">
        <v>159426</v>
      </c>
      <c r="CF7" s="1239">
        <f t="shared" si="29"/>
        <v>111035</v>
      </c>
      <c r="CG7" s="1240">
        <f t="shared" si="29"/>
        <v>159426</v>
      </c>
      <c r="CH7" s="39"/>
      <c r="CI7" s="40"/>
      <c r="CJ7" s="804">
        <f t="shared" si="7"/>
        <v>0</v>
      </c>
      <c r="CK7" s="805">
        <f t="shared" si="7"/>
        <v>0</v>
      </c>
      <c r="CL7" s="46"/>
      <c r="CM7" s="43">
        <v>2</v>
      </c>
      <c r="CN7" s="804">
        <f t="shared" si="8"/>
        <v>0</v>
      </c>
      <c r="CO7" s="805">
        <f t="shared" si="8"/>
        <v>2</v>
      </c>
      <c r="CP7" s="17">
        <f t="shared" si="30"/>
        <v>3115746</v>
      </c>
      <c r="CQ7" s="18">
        <f t="shared" si="31"/>
        <v>2944082</v>
      </c>
      <c r="CR7" s="18">
        <f t="shared" si="32"/>
        <v>3115746</v>
      </c>
      <c r="CS7" s="548">
        <f t="shared" si="33"/>
        <v>2944082</v>
      </c>
      <c r="CT7" s="39">
        <v>2196</v>
      </c>
      <c r="CU7" s="40">
        <v>1194</v>
      </c>
      <c r="CV7" s="804">
        <f t="shared" si="9"/>
        <v>2196</v>
      </c>
      <c r="CW7" s="805">
        <f t="shared" si="9"/>
        <v>1194</v>
      </c>
      <c r="CX7" s="18">
        <f t="shared" si="34"/>
        <v>3117942</v>
      </c>
      <c r="CY7" s="18">
        <f t="shared" si="10"/>
        <v>2945276</v>
      </c>
      <c r="CZ7" s="18">
        <f t="shared" si="10"/>
        <v>3117942</v>
      </c>
      <c r="DA7" s="548">
        <f t="shared" si="10"/>
        <v>2945276</v>
      </c>
    </row>
    <row r="8" spans="1:105" s="1234" customFormat="1" ht="13.5">
      <c r="A8" s="600" t="s">
        <v>6</v>
      </c>
      <c r="B8" s="17">
        <v>160521</v>
      </c>
      <c r="C8" s="16">
        <v>192818</v>
      </c>
      <c r="D8" s="804">
        <f t="shared" si="0"/>
        <v>160521</v>
      </c>
      <c r="E8" s="805">
        <f t="shared" si="0"/>
        <v>192818</v>
      </c>
      <c r="F8" s="46">
        <v>10861</v>
      </c>
      <c r="G8" s="43">
        <v>22499</v>
      </c>
      <c r="H8" s="43">
        <f aca="true" t="shared" si="35" ref="H8:I10">F8</f>
        <v>10861</v>
      </c>
      <c r="I8" s="47">
        <f t="shared" si="35"/>
        <v>22499</v>
      </c>
      <c r="J8" s="44">
        <v>90498</v>
      </c>
      <c r="K8" s="43">
        <v>127930</v>
      </c>
      <c r="L8" s="804">
        <f t="shared" si="1"/>
        <v>90498</v>
      </c>
      <c r="M8" s="1243">
        <f t="shared" si="1"/>
        <v>127930</v>
      </c>
      <c r="N8" s="44">
        <v>301618</v>
      </c>
      <c r="O8" s="43">
        <v>391365</v>
      </c>
      <c r="P8" s="804">
        <f t="shared" si="2"/>
        <v>301618</v>
      </c>
      <c r="Q8" s="1243">
        <f t="shared" si="2"/>
        <v>391365</v>
      </c>
      <c r="R8" s="44"/>
      <c r="S8" s="43"/>
      <c r="T8" s="43">
        <f t="shared" si="11"/>
        <v>0</v>
      </c>
      <c r="U8" s="1510">
        <f t="shared" si="11"/>
        <v>0</v>
      </c>
      <c r="V8" s="44">
        <v>150</v>
      </c>
      <c r="W8" s="43">
        <v>322</v>
      </c>
      <c r="X8" s="43">
        <f t="shared" si="12"/>
        <v>150</v>
      </c>
      <c r="Y8" s="1510">
        <f t="shared" si="12"/>
        <v>322</v>
      </c>
      <c r="Z8" s="44">
        <v>592069</v>
      </c>
      <c r="AA8" s="43">
        <v>1859854</v>
      </c>
      <c r="AB8" s="43">
        <f t="shared" si="13"/>
        <v>592069</v>
      </c>
      <c r="AC8" s="1510">
        <f t="shared" si="13"/>
        <v>1859854</v>
      </c>
      <c r="AD8" s="44">
        <v>7245</v>
      </c>
      <c r="AE8" s="43">
        <v>16666</v>
      </c>
      <c r="AF8" s="804">
        <f t="shared" si="14"/>
        <v>7245</v>
      </c>
      <c r="AG8" s="805">
        <f t="shared" si="15"/>
        <v>16666</v>
      </c>
      <c r="AH8" s="44">
        <v>362701</v>
      </c>
      <c r="AI8" s="43">
        <v>407815</v>
      </c>
      <c r="AJ8" s="804">
        <f t="shared" si="16"/>
        <v>362701</v>
      </c>
      <c r="AK8" s="805">
        <f t="shared" si="17"/>
        <v>407815</v>
      </c>
      <c r="AL8" s="46">
        <v>10722</v>
      </c>
      <c r="AM8" s="43">
        <v>12667</v>
      </c>
      <c r="AN8" s="804">
        <f t="shared" si="18"/>
        <v>10722</v>
      </c>
      <c r="AO8" s="805">
        <f t="shared" si="19"/>
        <v>12667</v>
      </c>
      <c r="AP8" s="46">
        <v>558888</v>
      </c>
      <c r="AQ8" s="1470">
        <v>573338</v>
      </c>
      <c r="AR8" s="804">
        <f t="shared" si="20"/>
        <v>558888</v>
      </c>
      <c r="AS8" s="805">
        <f t="shared" si="21"/>
        <v>573338</v>
      </c>
      <c r="AT8" s="46">
        <v>711132</v>
      </c>
      <c r="AU8" s="43">
        <v>98101</v>
      </c>
      <c r="AV8" s="804">
        <f t="shared" si="22"/>
        <v>711132</v>
      </c>
      <c r="AW8" s="805">
        <f t="shared" si="23"/>
        <v>98101</v>
      </c>
      <c r="AX8" s="1235"/>
      <c r="AY8" s="1236"/>
      <c r="AZ8" s="804">
        <f t="shared" si="24"/>
        <v>0</v>
      </c>
      <c r="BA8" s="805">
        <f t="shared" si="25"/>
        <v>0</v>
      </c>
      <c r="BB8" s="44">
        <v>151503</v>
      </c>
      <c r="BC8" s="43">
        <v>80670</v>
      </c>
      <c r="BD8" s="43">
        <f t="shared" si="26"/>
        <v>151503</v>
      </c>
      <c r="BE8" s="47">
        <f t="shared" si="26"/>
        <v>80670</v>
      </c>
      <c r="BF8" s="46">
        <v>217711</v>
      </c>
      <c r="BG8" s="43">
        <v>223524</v>
      </c>
      <c r="BH8" s="804">
        <f t="shared" si="3"/>
        <v>217711</v>
      </c>
      <c r="BI8" s="805">
        <f t="shared" si="3"/>
        <v>223524</v>
      </c>
      <c r="BJ8" s="46">
        <v>93098</v>
      </c>
      <c r="BK8" s="43">
        <v>110924</v>
      </c>
      <c r="BL8" s="804">
        <f t="shared" si="27"/>
        <v>93098</v>
      </c>
      <c r="BM8" s="805">
        <f t="shared" si="28"/>
        <v>110924</v>
      </c>
      <c r="BN8" s="46">
        <v>207735</v>
      </c>
      <c r="BO8" s="43">
        <v>133666</v>
      </c>
      <c r="BP8" s="804">
        <f t="shared" si="4"/>
        <v>207735</v>
      </c>
      <c r="BQ8" s="804">
        <f t="shared" si="4"/>
        <v>133666</v>
      </c>
      <c r="BR8" s="46">
        <v>35</v>
      </c>
      <c r="BS8" s="43">
        <v>1305</v>
      </c>
      <c r="BT8" s="804">
        <f t="shared" si="5"/>
        <v>35</v>
      </c>
      <c r="BU8" s="805">
        <f t="shared" si="5"/>
        <v>1305</v>
      </c>
      <c r="BV8" s="1237"/>
      <c r="BW8" s="43"/>
      <c r="BX8" s="43"/>
      <c r="BY8" s="47"/>
      <c r="BZ8" s="1231">
        <v>120424</v>
      </c>
      <c r="CA8" s="1232">
        <v>46950</v>
      </c>
      <c r="CB8" s="1225">
        <f t="shared" si="6"/>
        <v>120424</v>
      </c>
      <c r="CC8" s="1226">
        <f t="shared" si="6"/>
        <v>46950</v>
      </c>
      <c r="CD8" s="1238">
        <v>36394</v>
      </c>
      <c r="CE8" s="1239">
        <v>118462</v>
      </c>
      <c r="CF8" s="1239">
        <f t="shared" si="29"/>
        <v>36394</v>
      </c>
      <c r="CG8" s="1240">
        <f t="shared" si="29"/>
        <v>118462</v>
      </c>
      <c r="CH8" s="39">
        <v>1319</v>
      </c>
      <c r="CI8" s="40">
        <v>1328</v>
      </c>
      <c r="CJ8" s="804">
        <f t="shared" si="7"/>
        <v>1319</v>
      </c>
      <c r="CK8" s="805">
        <f t="shared" si="7"/>
        <v>1328</v>
      </c>
      <c r="CL8" s="46">
        <v>91176</v>
      </c>
      <c r="CM8" s="43">
        <v>36</v>
      </c>
      <c r="CN8" s="804">
        <f t="shared" si="8"/>
        <v>91176</v>
      </c>
      <c r="CO8" s="805">
        <f t="shared" si="8"/>
        <v>36</v>
      </c>
      <c r="CP8" s="17">
        <f t="shared" si="30"/>
        <v>3581542</v>
      </c>
      <c r="CQ8" s="18">
        <f t="shared" si="31"/>
        <v>4356236</v>
      </c>
      <c r="CR8" s="18">
        <f t="shared" si="32"/>
        <v>3581542</v>
      </c>
      <c r="CS8" s="548">
        <f t="shared" si="33"/>
        <v>4356236</v>
      </c>
      <c r="CT8" s="39">
        <v>936</v>
      </c>
      <c r="CU8" s="40">
        <v>1013</v>
      </c>
      <c r="CV8" s="804">
        <f t="shared" si="9"/>
        <v>936</v>
      </c>
      <c r="CW8" s="805">
        <f t="shared" si="9"/>
        <v>1013</v>
      </c>
      <c r="CX8" s="18">
        <f t="shared" si="34"/>
        <v>3582478</v>
      </c>
      <c r="CY8" s="18">
        <f t="shared" si="10"/>
        <v>4357249</v>
      </c>
      <c r="CZ8" s="18">
        <f t="shared" si="10"/>
        <v>3582478</v>
      </c>
      <c r="DA8" s="548">
        <f t="shared" si="10"/>
        <v>4357249</v>
      </c>
    </row>
    <row r="9" spans="1:105" s="1234" customFormat="1" ht="13.5">
      <c r="A9" s="600" t="s">
        <v>7</v>
      </c>
      <c r="B9" s="17"/>
      <c r="C9" s="16"/>
      <c r="D9" s="804">
        <f t="shared" si="0"/>
        <v>0</v>
      </c>
      <c r="E9" s="805">
        <f t="shared" si="0"/>
        <v>0</v>
      </c>
      <c r="F9" s="46"/>
      <c r="G9" s="43"/>
      <c r="H9" s="43">
        <f t="shared" si="35"/>
        <v>0</v>
      </c>
      <c r="I9" s="47">
        <f t="shared" si="35"/>
        <v>0</v>
      </c>
      <c r="J9" s="44"/>
      <c r="K9" s="43"/>
      <c r="L9" s="804">
        <f t="shared" si="1"/>
        <v>0</v>
      </c>
      <c r="M9" s="1243">
        <f t="shared" si="1"/>
        <v>0</v>
      </c>
      <c r="N9" s="44">
        <v>356205</v>
      </c>
      <c r="O9" s="43">
        <v>172286</v>
      </c>
      <c r="P9" s="804">
        <f t="shared" si="2"/>
        <v>356205</v>
      </c>
      <c r="Q9" s="1243">
        <f t="shared" si="2"/>
        <v>172286</v>
      </c>
      <c r="R9" s="44"/>
      <c r="S9" s="43"/>
      <c r="T9" s="43">
        <f t="shared" si="11"/>
        <v>0</v>
      </c>
      <c r="U9" s="1510">
        <f t="shared" si="11"/>
        <v>0</v>
      </c>
      <c r="V9" s="44"/>
      <c r="W9" s="43"/>
      <c r="X9" s="43">
        <f t="shared" si="12"/>
        <v>0</v>
      </c>
      <c r="Y9" s="1510">
        <f t="shared" si="12"/>
        <v>0</v>
      </c>
      <c r="Z9" s="44">
        <v>135965</v>
      </c>
      <c r="AA9" s="43"/>
      <c r="AB9" s="43">
        <f t="shared" si="13"/>
        <v>135965</v>
      </c>
      <c r="AC9" s="1510">
        <f t="shared" si="13"/>
        <v>0</v>
      </c>
      <c r="AD9" s="44"/>
      <c r="AE9" s="43"/>
      <c r="AF9" s="804">
        <f t="shared" si="14"/>
        <v>0</v>
      </c>
      <c r="AG9" s="805">
        <f t="shared" si="15"/>
        <v>0</v>
      </c>
      <c r="AH9" s="44"/>
      <c r="AI9" s="43"/>
      <c r="AJ9" s="804">
        <f t="shared" si="16"/>
        <v>0</v>
      </c>
      <c r="AK9" s="805">
        <f t="shared" si="17"/>
        <v>0</v>
      </c>
      <c r="AL9" s="46"/>
      <c r="AM9" s="43"/>
      <c r="AN9" s="804">
        <f t="shared" si="18"/>
        <v>0</v>
      </c>
      <c r="AO9" s="805">
        <f t="shared" si="19"/>
        <v>0</v>
      </c>
      <c r="AP9" s="46">
        <v>34514</v>
      </c>
      <c r="AQ9" s="1470">
        <v>102590</v>
      </c>
      <c r="AR9" s="804">
        <f t="shared" si="20"/>
        <v>34514</v>
      </c>
      <c r="AS9" s="805">
        <f t="shared" si="21"/>
        <v>102590</v>
      </c>
      <c r="AT9" s="46"/>
      <c r="AU9" s="43"/>
      <c r="AV9" s="804">
        <f t="shared" si="22"/>
        <v>0</v>
      </c>
      <c r="AW9" s="805">
        <f t="shared" si="23"/>
        <v>0</v>
      </c>
      <c r="AX9" s="1235"/>
      <c r="AY9" s="1236"/>
      <c r="AZ9" s="804">
        <f t="shared" si="24"/>
        <v>0</v>
      </c>
      <c r="BA9" s="805">
        <f t="shared" si="25"/>
        <v>0</v>
      </c>
      <c r="BB9" s="44"/>
      <c r="BC9" s="43"/>
      <c r="BD9" s="43">
        <f t="shared" si="26"/>
        <v>0</v>
      </c>
      <c r="BE9" s="47">
        <f t="shared" si="26"/>
        <v>0</v>
      </c>
      <c r="BF9" s="46">
        <v>851478</v>
      </c>
      <c r="BG9" s="43">
        <v>396347</v>
      </c>
      <c r="BH9" s="804">
        <f t="shared" si="3"/>
        <v>851478</v>
      </c>
      <c r="BI9" s="805">
        <f t="shared" si="3"/>
        <v>396347</v>
      </c>
      <c r="BJ9" s="46"/>
      <c r="BK9" s="43"/>
      <c r="BL9" s="804">
        <f t="shared" si="27"/>
        <v>0</v>
      </c>
      <c r="BM9" s="805">
        <f t="shared" si="28"/>
        <v>0</v>
      </c>
      <c r="BN9" s="46"/>
      <c r="BO9" s="43"/>
      <c r="BP9" s="804">
        <f t="shared" si="4"/>
        <v>0</v>
      </c>
      <c r="BQ9" s="804">
        <f t="shared" si="4"/>
        <v>0</v>
      </c>
      <c r="BR9" s="46"/>
      <c r="BS9" s="43"/>
      <c r="BT9" s="804">
        <f t="shared" si="5"/>
        <v>0</v>
      </c>
      <c r="BU9" s="805">
        <f t="shared" si="5"/>
        <v>0</v>
      </c>
      <c r="BV9" s="1237"/>
      <c r="BW9" s="43"/>
      <c r="BX9" s="43"/>
      <c r="BY9" s="47"/>
      <c r="BZ9" s="1231"/>
      <c r="CA9" s="1232"/>
      <c r="CB9" s="1225">
        <f t="shared" si="6"/>
        <v>0</v>
      </c>
      <c r="CC9" s="1226">
        <f t="shared" si="6"/>
        <v>0</v>
      </c>
      <c r="CD9" s="1238"/>
      <c r="CE9" s="1239"/>
      <c r="CF9" s="1239">
        <f t="shared" si="29"/>
        <v>0</v>
      </c>
      <c r="CG9" s="1240">
        <f t="shared" si="29"/>
        <v>0</v>
      </c>
      <c r="CH9" s="39"/>
      <c r="CI9" s="40"/>
      <c r="CJ9" s="804">
        <f t="shared" si="7"/>
        <v>0</v>
      </c>
      <c r="CK9" s="805">
        <f t="shared" si="7"/>
        <v>0</v>
      </c>
      <c r="CL9" s="46"/>
      <c r="CM9" s="43"/>
      <c r="CN9" s="804">
        <f t="shared" si="8"/>
        <v>0</v>
      </c>
      <c r="CO9" s="805">
        <f t="shared" si="8"/>
        <v>0</v>
      </c>
      <c r="CP9" s="17">
        <f t="shared" si="30"/>
        <v>1378162</v>
      </c>
      <c r="CQ9" s="18">
        <f t="shared" si="31"/>
        <v>671223</v>
      </c>
      <c r="CR9" s="18">
        <f t="shared" si="32"/>
        <v>1378162</v>
      </c>
      <c r="CS9" s="548">
        <f t="shared" si="33"/>
        <v>671223</v>
      </c>
      <c r="CT9" s="39"/>
      <c r="CU9" s="40"/>
      <c r="CV9" s="804">
        <f t="shared" si="9"/>
        <v>0</v>
      </c>
      <c r="CW9" s="805">
        <f t="shared" si="9"/>
        <v>0</v>
      </c>
      <c r="CX9" s="18">
        <f t="shared" si="34"/>
        <v>1378162</v>
      </c>
      <c r="CY9" s="18">
        <f t="shared" si="10"/>
        <v>671223</v>
      </c>
      <c r="CZ9" s="18">
        <f t="shared" si="10"/>
        <v>1378162</v>
      </c>
      <c r="DA9" s="548">
        <f t="shared" si="10"/>
        <v>671223</v>
      </c>
    </row>
    <row r="10" spans="1:105" s="1234" customFormat="1" ht="13.5">
      <c r="A10" s="600" t="s">
        <v>8</v>
      </c>
      <c r="B10" s="17">
        <v>262118</v>
      </c>
      <c r="C10" s="16">
        <v>142496</v>
      </c>
      <c r="D10" s="804">
        <f t="shared" si="0"/>
        <v>262118</v>
      </c>
      <c r="E10" s="805">
        <f t="shared" si="0"/>
        <v>142496</v>
      </c>
      <c r="F10" s="46">
        <v>15804</v>
      </c>
      <c r="G10" s="43">
        <v>11134</v>
      </c>
      <c r="H10" s="43">
        <f t="shared" si="35"/>
        <v>15804</v>
      </c>
      <c r="I10" s="47">
        <f t="shared" si="35"/>
        <v>11134</v>
      </c>
      <c r="J10" s="44">
        <v>11908</v>
      </c>
      <c r="K10" s="43">
        <v>73552</v>
      </c>
      <c r="L10" s="804">
        <f t="shared" si="1"/>
        <v>11908</v>
      </c>
      <c r="M10" s="1243">
        <f t="shared" si="1"/>
        <v>73552</v>
      </c>
      <c r="N10" s="44">
        <v>2186174</v>
      </c>
      <c r="O10" s="43">
        <v>3140463</v>
      </c>
      <c r="P10" s="804">
        <f t="shared" si="2"/>
        <v>2186174</v>
      </c>
      <c r="Q10" s="1243">
        <f t="shared" si="2"/>
        <v>3140463</v>
      </c>
      <c r="R10" s="44">
        <v>14910</v>
      </c>
      <c r="S10" s="43">
        <v>11559</v>
      </c>
      <c r="T10" s="43">
        <f t="shared" si="11"/>
        <v>14910</v>
      </c>
      <c r="U10" s="1510">
        <f t="shared" si="11"/>
        <v>11559</v>
      </c>
      <c r="V10" s="44">
        <v>454</v>
      </c>
      <c r="W10" s="43">
        <v>419</v>
      </c>
      <c r="X10" s="43">
        <f t="shared" si="12"/>
        <v>454</v>
      </c>
      <c r="Y10" s="1510">
        <f t="shared" si="12"/>
        <v>419</v>
      </c>
      <c r="Z10" s="44">
        <v>2002869</v>
      </c>
      <c r="AA10" s="43">
        <v>2150573</v>
      </c>
      <c r="AB10" s="43">
        <f t="shared" si="13"/>
        <v>2002869</v>
      </c>
      <c r="AC10" s="1510">
        <f t="shared" si="13"/>
        <v>2150573</v>
      </c>
      <c r="AD10" s="44">
        <v>11109</v>
      </c>
      <c r="AE10" s="43">
        <v>25493</v>
      </c>
      <c r="AF10" s="804">
        <f t="shared" si="14"/>
        <v>11109</v>
      </c>
      <c r="AG10" s="805">
        <f t="shared" si="15"/>
        <v>25493</v>
      </c>
      <c r="AH10" s="44">
        <v>22217</v>
      </c>
      <c r="AI10" s="43">
        <v>27381</v>
      </c>
      <c r="AJ10" s="804">
        <f t="shared" si="16"/>
        <v>22217</v>
      </c>
      <c r="AK10" s="805">
        <f t="shared" si="17"/>
        <v>27381</v>
      </c>
      <c r="AL10" s="46">
        <v>133646</v>
      </c>
      <c r="AM10" s="43">
        <v>121217</v>
      </c>
      <c r="AN10" s="804">
        <f t="shared" si="18"/>
        <v>133646</v>
      </c>
      <c r="AO10" s="805">
        <f t="shared" si="19"/>
        <v>121217</v>
      </c>
      <c r="AP10" s="46">
        <v>6171853</v>
      </c>
      <c r="AQ10" s="1470">
        <v>4509170</v>
      </c>
      <c r="AR10" s="804">
        <f t="shared" si="20"/>
        <v>6171853</v>
      </c>
      <c r="AS10" s="805">
        <f t="shared" si="21"/>
        <v>4509170</v>
      </c>
      <c r="AT10" s="46">
        <v>4846846</v>
      </c>
      <c r="AU10" s="43">
        <v>2742142</v>
      </c>
      <c r="AV10" s="804">
        <f t="shared" si="22"/>
        <v>4846846</v>
      </c>
      <c r="AW10" s="805">
        <f t="shared" si="23"/>
        <v>2742142</v>
      </c>
      <c r="AX10" s="1235">
        <v>23713</v>
      </c>
      <c r="AY10" s="1236">
        <v>48862</v>
      </c>
      <c r="AZ10" s="804">
        <f t="shared" si="24"/>
        <v>23713</v>
      </c>
      <c r="BA10" s="805">
        <f t="shared" si="25"/>
        <v>48862</v>
      </c>
      <c r="BB10" s="44">
        <v>826420</v>
      </c>
      <c r="BC10" s="43">
        <v>2207789</v>
      </c>
      <c r="BD10" s="43">
        <f t="shared" si="26"/>
        <v>826420</v>
      </c>
      <c r="BE10" s="47">
        <f t="shared" si="26"/>
        <v>2207789</v>
      </c>
      <c r="BF10" s="48">
        <v>1502079</v>
      </c>
      <c r="BG10" s="49">
        <v>1987154</v>
      </c>
      <c r="BH10" s="804">
        <f t="shared" si="3"/>
        <v>1502079</v>
      </c>
      <c r="BI10" s="805">
        <f t="shared" si="3"/>
        <v>1987154</v>
      </c>
      <c r="BJ10" s="46">
        <v>702713</v>
      </c>
      <c r="BK10" s="43">
        <v>835313</v>
      </c>
      <c r="BL10" s="804">
        <f t="shared" si="27"/>
        <v>702713</v>
      </c>
      <c r="BM10" s="805">
        <f t="shared" si="28"/>
        <v>835313</v>
      </c>
      <c r="BN10" s="46">
        <v>475232</v>
      </c>
      <c r="BO10" s="43">
        <v>102321</v>
      </c>
      <c r="BP10" s="804">
        <f t="shared" si="4"/>
        <v>475232</v>
      </c>
      <c r="BQ10" s="804">
        <f t="shared" si="4"/>
        <v>102321</v>
      </c>
      <c r="BR10" s="46">
        <v>116250</v>
      </c>
      <c r="BS10" s="43">
        <v>372561</v>
      </c>
      <c r="BT10" s="804">
        <f t="shared" si="5"/>
        <v>116250</v>
      </c>
      <c r="BU10" s="805">
        <f t="shared" si="5"/>
        <v>372561</v>
      </c>
      <c r="BV10" s="1237"/>
      <c r="BW10" s="43"/>
      <c r="BX10" s="43"/>
      <c r="BY10" s="47"/>
      <c r="BZ10" s="1231">
        <v>855356</v>
      </c>
      <c r="CA10" s="1232">
        <v>264550</v>
      </c>
      <c r="CB10" s="1225">
        <f t="shared" si="6"/>
        <v>855356</v>
      </c>
      <c r="CC10" s="1226">
        <f t="shared" si="6"/>
        <v>264550</v>
      </c>
      <c r="CD10" s="1238">
        <v>517029</v>
      </c>
      <c r="CE10" s="1239">
        <v>834782</v>
      </c>
      <c r="CF10" s="1239">
        <f t="shared" si="29"/>
        <v>517029</v>
      </c>
      <c r="CG10" s="1240">
        <f t="shared" si="29"/>
        <v>834782</v>
      </c>
      <c r="CH10" s="39">
        <v>1375</v>
      </c>
      <c r="CI10" s="40">
        <v>422</v>
      </c>
      <c r="CJ10" s="804">
        <f t="shared" si="7"/>
        <v>1375</v>
      </c>
      <c r="CK10" s="805">
        <f t="shared" si="7"/>
        <v>422</v>
      </c>
      <c r="CL10" s="46">
        <v>41818</v>
      </c>
      <c r="CM10" s="43">
        <v>30481</v>
      </c>
      <c r="CN10" s="804">
        <f t="shared" si="8"/>
        <v>41818</v>
      </c>
      <c r="CO10" s="805">
        <f t="shared" si="8"/>
        <v>30481</v>
      </c>
      <c r="CP10" s="17">
        <f t="shared" si="30"/>
        <v>19926582</v>
      </c>
      <c r="CQ10" s="18">
        <f t="shared" si="31"/>
        <v>17457538</v>
      </c>
      <c r="CR10" s="18">
        <f t="shared" si="32"/>
        <v>19926582</v>
      </c>
      <c r="CS10" s="548">
        <f t="shared" si="33"/>
        <v>17457538</v>
      </c>
      <c r="CT10" s="46">
        <v>4618501</v>
      </c>
      <c r="CU10" s="43">
        <v>3084319</v>
      </c>
      <c r="CV10" s="804">
        <f t="shared" si="9"/>
        <v>4618501</v>
      </c>
      <c r="CW10" s="805">
        <f t="shared" si="9"/>
        <v>3084319</v>
      </c>
      <c r="CX10" s="18">
        <f t="shared" si="34"/>
        <v>24545083</v>
      </c>
      <c r="CY10" s="18">
        <f t="shared" si="10"/>
        <v>20541857</v>
      </c>
      <c r="CZ10" s="18">
        <f t="shared" si="10"/>
        <v>24545083</v>
      </c>
      <c r="DA10" s="548">
        <f t="shared" si="10"/>
        <v>20541857</v>
      </c>
    </row>
    <row r="11" spans="1:105" s="1234" customFormat="1" ht="14.25" thickBot="1">
      <c r="A11" s="600" t="s">
        <v>9</v>
      </c>
      <c r="B11" s="1114"/>
      <c r="C11" s="1289"/>
      <c r="D11" s="1289"/>
      <c r="E11" s="1290"/>
      <c r="F11" s="1116"/>
      <c r="G11" s="1293"/>
      <c r="H11" s="1293"/>
      <c r="I11" s="1294"/>
      <c r="J11" s="1132"/>
      <c r="K11" s="1293"/>
      <c r="L11" s="1293"/>
      <c r="M11" s="1512"/>
      <c r="N11" s="1132"/>
      <c r="O11" s="1293"/>
      <c r="P11" s="1293"/>
      <c r="Q11" s="1512"/>
      <c r="R11" s="1132"/>
      <c r="S11" s="1293"/>
      <c r="T11" s="1293"/>
      <c r="U11" s="1512"/>
      <c r="V11" s="1132"/>
      <c r="W11" s="1293"/>
      <c r="X11" s="43">
        <f t="shared" si="12"/>
        <v>0</v>
      </c>
      <c r="Y11" s="1510">
        <f t="shared" si="12"/>
        <v>0</v>
      </c>
      <c r="Z11" s="1132"/>
      <c r="AA11" s="1293"/>
      <c r="AB11" s="43">
        <f t="shared" si="13"/>
        <v>0</v>
      </c>
      <c r="AC11" s="1510">
        <f t="shared" si="13"/>
        <v>0</v>
      </c>
      <c r="AD11" s="1132"/>
      <c r="AE11" s="1293"/>
      <c r="AF11" s="804">
        <f t="shared" si="14"/>
        <v>0</v>
      </c>
      <c r="AG11" s="805">
        <f t="shared" si="15"/>
        <v>0</v>
      </c>
      <c r="AH11" s="1132"/>
      <c r="AI11" s="1293"/>
      <c r="AJ11" s="804">
        <f t="shared" si="16"/>
        <v>0</v>
      </c>
      <c r="AK11" s="805">
        <f t="shared" si="17"/>
        <v>0</v>
      </c>
      <c r="AL11" s="1116"/>
      <c r="AM11" s="1293"/>
      <c r="AN11" s="804">
        <f t="shared" si="18"/>
        <v>0</v>
      </c>
      <c r="AO11" s="805">
        <f t="shared" si="19"/>
        <v>0</v>
      </c>
      <c r="AP11" s="1116"/>
      <c r="AQ11" s="1241"/>
      <c r="AR11" s="804">
        <f t="shared" si="20"/>
        <v>0</v>
      </c>
      <c r="AS11" s="805">
        <f t="shared" si="21"/>
        <v>0</v>
      </c>
      <c r="AT11" s="1116"/>
      <c r="AU11" s="1293"/>
      <c r="AV11" s="804">
        <f t="shared" si="22"/>
        <v>0</v>
      </c>
      <c r="AW11" s="805">
        <f t="shared" si="23"/>
        <v>0</v>
      </c>
      <c r="AX11" s="1295"/>
      <c r="AY11" s="1296"/>
      <c r="AZ11" s="804">
        <f t="shared" si="24"/>
        <v>0</v>
      </c>
      <c r="BA11" s="805">
        <f t="shared" si="25"/>
        <v>0</v>
      </c>
      <c r="BB11" s="1132"/>
      <c r="BC11" s="1293"/>
      <c r="BD11" s="1293"/>
      <c r="BE11" s="1294"/>
      <c r="BF11" s="1121"/>
      <c r="BG11" s="1117"/>
      <c r="BH11" s="1117"/>
      <c r="BI11" s="1118"/>
      <c r="BJ11" s="1116"/>
      <c r="BK11" s="1293"/>
      <c r="BL11" s="804">
        <f t="shared" si="27"/>
        <v>0</v>
      </c>
      <c r="BM11" s="805">
        <f t="shared" si="28"/>
        <v>0</v>
      </c>
      <c r="BN11" s="1116"/>
      <c r="BO11" s="1293"/>
      <c r="BP11" s="804"/>
      <c r="BQ11" s="804"/>
      <c r="BR11" s="1116"/>
      <c r="BS11" s="1293"/>
      <c r="BT11" s="1293"/>
      <c r="BU11" s="1294"/>
      <c r="BV11" s="1297"/>
      <c r="BW11" s="1293"/>
      <c r="BX11" s="1293"/>
      <c r="BY11" s="1294"/>
      <c r="BZ11" s="1298"/>
      <c r="CA11" s="1299"/>
      <c r="CB11" s="1299"/>
      <c r="CC11" s="1300"/>
      <c r="CD11" s="1301"/>
      <c r="CE11" s="1302"/>
      <c r="CF11" s="1302"/>
      <c r="CG11" s="1303"/>
      <c r="CH11" s="1304"/>
      <c r="CI11" s="1305"/>
      <c r="CJ11" s="1305"/>
      <c r="CK11" s="1306"/>
      <c r="CL11" s="1116"/>
      <c r="CM11" s="1293"/>
      <c r="CN11" s="1293"/>
      <c r="CO11" s="1294"/>
      <c r="CP11" s="1114">
        <f t="shared" si="30"/>
        <v>0</v>
      </c>
      <c r="CQ11" s="1130">
        <f t="shared" si="31"/>
        <v>0</v>
      </c>
      <c r="CR11" s="1130">
        <f t="shared" si="32"/>
        <v>0</v>
      </c>
      <c r="CS11" s="1115">
        <f t="shared" si="33"/>
        <v>0</v>
      </c>
      <c r="CT11" s="1116"/>
      <c r="CU11" s="1293"/>
      <c r="CV11" s="804">
        <f t="shared" si="9"/>
        <v>0</v>
      </c>
      <c r="CW11" s="805">
        <f t="shared" si="9"/>
        <v>0</v>
      </c>
      <c r="CX11" s="1130">
        <f t="shared" si="34"/>
        <v>0</v>
      </c>
      <c r="CY11" s="1130">
        <f t="shared" si="10"/>
        <v>0</v>
      </c>
      <c r="CZ11" s="1130">
        <f t="shared" si="10"/>
        <v>0</v>
      </c>
      <c r="DA11" s="1115">
        <f t="shared" si="10"/>
        <v>0</v>
      </c>
    </row>
    <row r="12" spans="1:105" s="708" customFormat="1" ht="15" thickBot="1">
      <c r="A12" s="1246" t="s">
        <v>10</v>
      </c>
      <c r="B12" s="1095">
        <f>SUM(B5:B11)</f>
        <v>709155</v>
      </c>
      <c r="C12" s="1097">
        <f aca="true" t="shared" si="36" ref="C12:BN12">SUM(C5:C11)</f>
        <v>561625</v>
      </c>
      <c r="D12" s="1097">
        <f t="shared" si="36"/>
        <v>709155</v>
      </c>
      <c r="E12" s="1098">
        <f t="shared" si="36"/>
        <v>561625</v>
      </c>
      <c r="F12" s="1099">
        <f t="shared" si="36"/>
        <v>26665</v>
      </c>
      <c r="G12" s="1097">
        <f t="shared" si="36"/>
        <v>33633</v>
      </c>
      <c r="H12" s="1097">
        <f t="shared" si="36"/>
        <v>26665</v>
      </c>
      <c r="I12" s="1098">
        <f t="shared" si="36"/>
        <v>33633</v>
      </c>
      <c r="J12" s="1095">
        <f t="shared" si="36"/>
        <v>102481</v>
      </c>
      <c r="K12" s="1097">
        <f t="shared" si="36"/>
        <v>201773</v>
      </c>
      <c r="L12" s="1097">
        <f t="shared" si="36"/>
        <v>102481</v>
      </c>
      <c r="M12" s="1291">
        <f t="shared" si="36"/>
        <v>201773</v>
      </c>
      <c r="N12" s="1095">
        <f t="shared" si="36"/>
        <v>7468504</v>
      </c>
      <c r="O12" s="1097">
        <f t="shared" si="36"/>
        <v>7460159</v>
      </c>
      <c r="P12" s="1097">
        <f t="shared" si="36"/>
        <v>7468504</v>
      </c>
      <c r="Q12" s="1291">
        <f t="shared" si="36"/>
        <v>7460159</v>
      </c>
      <c r="R12" s="1095">
        <f t="shared" si="36"/>
        <v>23697</v>
      </c>
      <c r="S12" s="1097">
        <f t="shared" si="36"/>
        <v>11559</v>
      </c>
      <c r="T12" s="1097">
        <f t="shared" si="36"/>
        <v>23697</v>
      </c>
      <c r="U12" s="1291">
        <f t="shared" si="36"/>
        <v>11559</v>
      </c>
      <c r="V12" s="1095">
        <f t="shared" si="36"/>
        <v>2447223</v>
      </c>
      <c r="W12" s="1097">
        <f t="shared" si="36"/>
        <v>1766367</v>
      </c>
      <c r="X12" s="1097">
        <f t="shared" si="36"/>
        <v>2447223</v>
      </c>
      <c r="Y12" s="1291">
        <f t="shared" si="36"/>
        <v>1766367</v>
      </c>
      <c r="Z12" s="1095">
        <f t="shared" si="36"/>
        <v>2990669</v>
      </c>
      <c r="AA12" s="1097">
        <f t="shared" si="36"/>
        <v>4087902</v>
      </c>
      <c r="AB12" s="1097">
        <f t="shared" si="36"/>
        <v>2990669</v>
      </c>
      <c r="AC12" s="1291">
        <f t="shared" si="36"/>
        <v>4087902</v>
      </c>
      <c r="AD12" s="1095">
        <f>SUM(AD5:AD11)</f>
        <v>18354</v>
      </c>
      <c r="AE12" s="1097">
        <f>SUM(AE5:AE11)</f>
        <v>42157</v>
      </c>
      <c r="AF12" s="1097">
        <f>SUM(AF5:AF11)</f>
        <v>18354</v>
      </c>
      <c r="AG12" s="1098">
        <f>SUM(AG5:AG11)</f>
        <v>42157</v>
      </c>
      <c r="AH12" s="1095">
        <f t="shared" si="36"/>
        <v>385024</v>
      </c>
      <c r="AI12" s="1097">
        <f t="shared" si="36"/>
        <v>435236</v>
      </c>
      <c r="AJ12" s="1097">
        <f t="shared" si="36"/>
        <v>385024</v>
      </c>
      <c r="AK12" s="1098">
        <f t="shared" si="36"/>
        <v>435236</v>
      </c>
      <c r="AL12" s="1099">
        <f t="shared" si="36"/>
        <v>155044</v>
      </c>
      <c r="AM12" s="1097">
        <f t="shared" si="36"/>
        <v>136660</v>
      </c>
      <c r="AN12" s="1097">
        <f t="shared" si="36"/>
        <v>155044</v>
      </c>
      <c r="AO12" s="1098">
        <f t="shared" si="36"/>
        <v>136660</v>
      </c>
      <c r="AP12" s="1099">
        <f t="shared" si="36"/>
        <v>12752723</v>
      </c>
      <c r="AQ12" s="1097">
        <f t="shared" si="36"/>
        <v>11057785</v>
      </c>
      <c r="AR12" s="1097">
        <f t="shared" si="36"/>
        <v>12752723</v>
      </c>
      <c r="AS12" s="1098">
        <f t="shared" si="36"/>
        <v>11057785</v>
      </c>
      <c r="AT12" s="1099">
        <f t="shared" si="36"/>
        <v>5905633</v>
      </c>
      <c r="AU12" s="1097">
        <f t="shared" si="36"/>
        <v>2900338</v>
      </c>
      <c r="AV12" s="1097">
        <f t="shared" si="36"/>
        <v>5905633</v>
      </c>
      <c r="AW12" s="1098">
        <f t="shared" si="36"/>
        <v>2900338</v>
      </c>
      <c r="AX12" s="1099">
        <f t="shared" si="36"/>
        <v>28597</v>
      </c>
      <c r="AY12" s="1097">
        <f t="shared" si="36"/>
        <v>52227</v>
      </c>
      <c r="AZ12" s="1097">
        <f t="shared" si="36"/>
        <v>28597</v>
      </c>
      <c r="BA12" s="1098">
        <f t="shared" si="36"/>
        <v>52227</v>
      </c>
      <c r="BB12" s="1095">
        <f t="shared" si="36"/>
        <v>990537</v>
      </c>
      <c r="BC12" s="1097">
        <f t="shared" si="36"/>
        <v>2306070</v>
      </c>
      <c r="BD12" s="1097">
        <f t="shared" si="36"/>
        <v>990537</v>
      </c>
      <c r="BE12" s="1098">
        <f t="shared" si="36"/>
        <v>2306070</v>
      </c>
      <c r="BF12" s="1099">
        <f t="shared" si="36"/>
        <v>3944598</v>
      </c>
      <c r="BG12" s="1097">
        <f t="shared" si="36"/>
        <v>2971296</v>
      </c>
      <c r="BH12" s="1097">
        <f t="shared" si="36"/>
        <v>3944598</v>
      </c>
      <c r="BI12" s="1098">
        <f t="shared" si="36"/>
        <v>2971296</v>
      </c>
      <c r="BJ12" s="1099">
        <f t="shared" si="36"/>
        <v>1339440</v>
      </c>
      <c r="BK12" s="1097">
        <f t="shared" si="36"/>
        <v>979402</v>
      </c>
      <c r="BL12" s="1097">
        <f t="shared" si="36"/>
        <v>1339440</v>
      </c>
      <c r="BM12" s="1098">
        <f t="shared" si="36"/>
        <v>979402</v>
      </c>
      <c r="BN12" s="1099">
        <f t="shared" si="36"/>
        <v>709353</v>
      </c>
      <c r="BO12" s="1097">
        <f aca="true" t="shared" si="37" ref="BO12:CO12">SUM(BO5:BO11)</f>
        <v>254742</v>
      </c>
      <c r="BP12" s="1097">
        <f t="shared" si="37"/>
        <v>709353</v>
      </c>
      <c r="BQ12" s="1098">
        <f t="shared" si="37"/>
        <v>254742</v>
      </c>
      <c r="BR12" s="1099">
        <f t="shared" si="37"/>
        <v>116285</v>
      </c>
      <c r="BS12" s="1097">
        <f t="shared" si="37"/>
        <v>373865</v>
      </c>
      <c r="BT12" s="1097">
        <f t="shared" si="37"/>
        <v>116285</v>
      </c>
      <c r="BU12" s="1098">
        <f t="shared" si="37"/>
        <v>373865</v>
      </c>
      <c r="BV12" s="1099">
        <f t="shared" si="37"/>
        <v>0</v>
      </c>
      <c r="BW12" s="1097">
        <f t="shared" si="37"/>
        <v>0</v>
      </c>
      <c r="BX12" s="1097">
        <f t="shared" si="37"/>
        <v>0</v>
      </c>
      <c r="BY12" s="1098">
        <f t="shared" si="37"/>
        <v>0</v>
      </c>
      <c r="BZ12" s="1099">
        <f t="shared" si="37"/>
        <v>1115843</v>
      </c>
      <c r="CA12" s="1097">
        <f t="shared" si="37"/>
        <v>425300</v>
      </c>
      <c r="CB12" s="1097">
        <f t="shared" si="37"/>
        <v>1115843</v>
      </c>
      <c r="CC12" s="1098">
        <f t="shared" si="37"/>
        <v>425300</v>
      </c>
      <c r="CD12" s="1099">
        <f t="shared" si="37"/>
        <v>664459</v>
      </c>
      <c r="CE12" s="1097">
        <f t="shared" si="37"/>
        <v>1112670</v>
      </c>
      <c r="CF12" s="1097">
        <f t="shared" si="37"/>
        <v>664459</v>
      </c>
      <c r="CG12" s="1098">
        <f t="shared" si="37"/>
        <v>1112670</v>
      </c>
      <c r="CH12" s="1099">
        <f t="shared" si="37"/>
        <v>404718</v>
      </c>
      <c r="CI12" s="1097">
        <f t="shared" si="37"/>
        <v>32048</v>
      </c>
      <c r="CJ12" s="1097">
        <f t="shared" si="37"/>
        <v>404718</v>
      </c>
      <c r="CK12" s="1098">
        <f t="shared" si="37"/>
        <v>32048</v>
      </c>
      <c r="CL12" s="1099">
        <f t="shared" si="37"/>
        <v>138347</v>
      </c>
      <c r="CM12" s="1097">
        <f t="shared" si="37"/>
        <v>32758</v>
      </c>
      <c r="CN12" s="1097">
        <f t="shared" si="37"/>
        <v>138347</v>
      </c>
      <c r="CO12" s="1098">
        <f t="shared" si="37"/>
        <v>32758</v>
      </c>
      <c r="CP12" s="1095">
        <f t="shared" si="30"/>
        <v>41465166</v>
      </c>
      <c r="CQ12" s="1099">
        <f t="shared" si="31"/>
        <v>34971659</v>
      </c>
      <c r="CR12" s="1099">
        <f t="shared" si="32"/>
        <v>41465166</v>
      </c>
      <c r="CS12" s="1292">
        <f t="shared" si="33"/>
        <v>34971659</v>
      </c>
      <c r="CT12" s="1105">
        <f>SUM(CT5:CT11)</f>
        <v>4758677</v>
      </c>
      <c r="CU12" s="1105">
        <f>SUM(CU5:CU11)</f>
        <v>3308615</v>
      </c>
      <c r="CV12" s="1105">
        <f>SUM(CV5:CV11)</f>
        <v>4758677</v>
      </c>
      <c r="CW12" s="1106">
        <f>SUM(CW5:CW11)</f>
        <v>3308615</v>
      </c>
      <c r="CX12" s="1099">
        <f t="shared" si="34"/>
        <v>46223843</v>
      </c>
      <c r="CY12" s="1099">
        <f t="shared" si="10"/>
        <v>38280274</v>
      </c>
      <c r="CZ12" s="1099">
        <f t="shared" si="10"/>
        <v>46223843</v>
      </c>
      <c r="DA12" s="1292">
        <f t="shared" si="10"/>
        <v>38280274</v>
      </c>
    </row>
    <row r="13" spans="1:105" ht="15" thickBot="1">
      <c r="A13" s="590" t="s">
        <v>11</v>
      </c>
      <c r="B13" s="1307"/>
      <c r="C13" s="1308"/>
      <c r="D13" s="1308"/>
      <c r="E13" s="1309"/>
      <c r="F13" s="1310"/>
      <c r="G13" s="1311"/>
      <c r="H13" s="1311"/>
      <c r="I13" s="1312"/>
      <c r="J13" s="1511"/>
      <c r="K13" s="1311"/>
      <c r="L13" s="1311"/>
      <c r="M13" s="1315"/>
      <c r="N13" s="1511"/>
      <c r="O13" s="1311"/>
      <c r="P13" s="1311"/>
      <c r="Q13" s="1315"/>
      <c r="R13" s="1514"/>
      <c r="S13" s="1313"/>
      <c r="T13" s="1313"/>
      <c r="U13" s="1513"/>
      <c r="V13" s="1511"/>
      <c r="W13" s="1311"/>
      <c r="X13" s="1311"/>
      <c r="Y13" s="1315"/>
      <c r="Z13" s="1511"/>
      <c r="AA13" s="1311"/>
      <c r="AB13" s="1311"/>
      <c r="AC13" s="1315"/>
      <c r="AD13" s="1511"/>
      <c r="AE13" s="1311"/>
      <c r="AF13" s="1311"/>
      <c r="AG13" s="1312"/>
      <c r="AH13" s="1511"/>
      <c r="AI13" s="1311"/>
      <c r="AJ13" s="1311"/>
      <c r="AK13" s="1312"/>
      <c r="AL13" s="1310"/>
      <c r="AM13" s="1311">
        <v>0</v>
      </c>
      <c r="AN13" s="1311"/>
      <c r="AO13" s="1312"/>
      <c r="AP13" s="1310"/>
      <c r="AQ13" s="410"/>
      <c r="AR13" s="1311"/>
      <c r="AS13" s="1312"/>
      <c r="AT13" s="1310"/>
      <c r="AU13" s="1311"/>
      <c r="AV13" s="1311"/>
      <c r="AW13" s="1312"/>
      <c r="AX13" s="1310"/>
      <c r="AY13" s="1311"/>
      <c r="AZ13" s="1311"/>
      <c r="BA13" s="1312"/>
      <c r="BB13" s="1316"/>
      <c r="BC13" s="1317"/>
      <c r="BD13" s="1317"/>
      <c r="BE13" s="1318"/>
      <c r="BF13" s="1310"/>
      <c r="BG13" s="1311"/>
      <c r="BH13" s="1311"/>
      <c r="BI13" s="1312"/>
      <c r="BJ13" s="1310"/>
      <c r="BK13" s="1311"/>
      <c r="BL13" s="1311"/>
      <c r="BM13" s="1312"/>
      <c r="BN13" s="1310"/>
      <c r="BO13" s="1311"/>
      <c r="BP13" s="1311"/>
      <c r="BQ13" s="1312"/>
      <c r="BR13" s="1310"/>
      <c r="BS13" s="1311"/>
      <c r="BT13" s="1311"/>
      <c r="BU13" s="1312"/>
      <c r="BV13" s="1319"/>
      <c r="BW13" s="1313"/>
      <c r="BX13" s="1313"/>
      <c r="BY13" s="1314"/>
      <c r="BZ13" s="1320"/>
      <c r="CA13" s="1321"/>
      <c r="CB13" s="1321"/>
      <c r="CC13" s="1322"/>
      <c r="CD13" s="1323"/>
      <c r="CE13" s="1324"/>
      <c r="CF13" s="1324"/>
      <c r="CG13" s="1325"/>
      <c r="CH13" s="1326"/>
      <c r="CI13" s="1327">
        <v>0</v>
      </c>
      <c r="CJ13" s="1327">
        <v>0</v>
      </c>
      <c r="CK13" s="1328"/>
      <c r="CL13" s="1310"/>
      <c r="CM13" s="1311"/>
      <c r="CN13" s="1311"/>
      <c r="CO13" s="1312"/>
      <c r="CP13" s="1307">
        <f t="shared" si="30"/>
        <v>0</v>
      </c>
      <c r="CQ13" s="1329">
        <f t="shared" si="31"/>
        <v>0</v>
      </c>
      <c r="CR13" s="1329">
        <f t="shared" si="32"/>
        <v>0</v>
      </c>
      <c r="CS13" s="1330">
        <f t="shared" si="33"/>
        <v>0</v>
      </c>
      <c r="CT13" s="1326"/>
      <c r="CU13" s="1327"/>
      <c r="CV13" s="1327"/>
      <c r="CW13" s="1328"/>
      <c r="CX13" s="1329">
        <f t="shared" si="34"/>
        <v>0</v>
      </c>
      <c r="CY13" s="1329">
        <f t="shared" si="10"/>
        <v>0</v>
      </c>
      <c r="CZ13" s="1329">
        <f t="shared" si="10"/>
        <v>0</v>
      </c>
      <c r="DA13" s="1330">
        <f t="shared" si="10"/>
        <v>0</v>
      </c>
    </row>
    <row r="14" spans="1:105" s="708" customFormat="1" ht="15" thickBot="1">
      <c r="A14" s="1246" t="s">
        <v>12</v>
      </c>
      <c r="B14" s="1095">
        <f>B12+B13</f>
        <v>709155</v>
      </c>
      <c r="C14" s="1097">
        <f aca="true" t="shared" si="38" ref="C14:BN14">C12+C13</f>
        <v>561625</v>
      </c>
      <c r="D14" s="1097">
        <f t="shared" si="38"/>
        <v>709155</v>
      </c>
      <c r="E14" s="1098">
        <f t="shared" si="38"/>
        <v>561625</v>
      </c>
      <c r="F14" s="1099">
        <f t="shared" si="38"/>
        <v>26665</v>
      </c>
      <c r="G14" s="1097">
        <f t="shared" si="38"/>
        <v>33633</v>
      </c>
      <c r="H14" s="1097">
        <f t="shared" si="38"/>
        <v>26665</v>
      </c>
      <c r="I14" s="1098">
        <f t="shared" si="38"/>
        <v>33633</v>
      </c>
      <c r="J14" s="1095">
        <f t="shared" si="38"/>
        <v>102481</v>
      </c>
      <c r="K14" s="1097">
        <f t="shared" si="38"/>
        <v>201773</v>
      </c>
      <c r="L14" s="1097">
        <f t="shared" si="38"/>
        <v>102481</v>
      </c>
      <c r="M14" s="1291">
        <f t="shared" si="38"/>
        <v>201773</v>
      </c>
      <c r="N14" s="1095">
        <f t="shared" si="38"/>
        <v>7468504</v>
      </c>
      <c r="O14" s="1097">
        <f t="shared" si="38"/>
        <v>7460159</v>
      </c>
      <c r="P14" s="1097">
        <f t="shared" si="38"/>
        <v>7468504</v>
      </c>
      <c r="Q14" s="1291">
        <f t="shared" si="38"/>
        <v>7460159</v>
      </c>
      <c r="R14" s="1095">
        <f t="shared" si="38"/>
        <v>23697</v>
      </c>
      <c r="S14" s="1097">
        <f t="shared" si="38"/>
        <v>11559</v>
      </c>
      <c r="T14" s="1097">
        <f t="shared" si="38"/>
        <v>23697</v>
      </c>
      <c r="U14" s="1291">
        <f t="shared" si="38"/>
        <v>11559</v>
      </c>
      <c r="V14" s="1095">
        <f t="shared" si="38"/>
        <v>2447223</v>
      </c>
      <c r="W14" s="1097">
        <f t="shared" si="38"/>
        <v>1766367</v>
      </c>
      <c r="X14" s="1097">
        <f t="shared" si="38"/>
        <v>2447223</v>
      </c>
      <c r="Y14" s="1291">
        <f t="shared" si="38"/>
        <v>1766367</v>
      </c>
      <c r="Z14" s="1095">
        <f t="shared" si="38"/>
        <v>2990669</v>
      </c>
      <c r="AA14" s="1097">
        <f t="shared" si="38"/>
        <v>4087902</v>
      </c>
      <c r="AB14" s="1097">
        <f t="shared" si="38"/>
        <v>2990669</v>
      </c>
      <c r="AC14" s="1291">
        <f t="shared" si="38"/>
        <v>4087902</v>
      </c>
      <c r="AD14" s="1095">
        <f>AD12+AD13</f>
        <v>18354</v>
      </c>
      <c r="AE14" s="1097">
        <f>AE12+AE13</f>
        <v>42157</v>
      </c>
      <c r="AF14" s="1097">
        <f>AF12+AF13</f>
        <v>18354</v>
      </c>
      <c r="AG14" s="1098">
        <f>AG12+AG13</f>
        <v>42157</v>
      </c>
      <c r="AH14" s="1095">
        <f t="shared" si="38"/>
        <v>385024</v>
      </c>
      <c r="AI14" s="1097">
        <f t="shared" si="38"/>
        <v>435236</v>
      </c>
      <c r="AJ14" s="1097">
        <f t="shared" si="38"/>
        <v>385024</v>
      </c>
      <c r="AK14" s="1098">
        <f t="shared" si="38"/>
        <v>435236</v>
      </c>
      <c r="AL14" s="1099">
        <f t="shared" si="38"/>
        <v>155044</v>
      </c>
      <c r="AM14" s="1097">
        <f t="shared" si="38"/>
        <v>136660</v>
      </c>
      <c r="AN14" s="1097">
        <f t="shared" si="38"/>
        <v>155044</v>
      </c>
      <c r="AO14" s="1098">
        <f t="shared" si="38"/>
        <v>136660</v>
      </c>
      <c r="AP14" s="1099">
        <f t="shared" si="38"/>
        <v>12752723</v>
      </c>
      <c r="AQ14" s="1097">
        <f t="shared" si="38"/>
        <v>11057785</v>
      </c>
      <c r="AR14" s="1097">
        <f t="shared" si="38"/>
        <v>12752723</v>
      </c>
      <c r="AS14" s="1098">
        <f t="shared" si="38"/>
        <v>11057785</v>
      </c>
      <c r="AT14" s="1099">
        <f t="shared" si="38"/>
        <v>5905633</v>
      </c>
      <c r="AU14" s="1097">
        <f t="shared" si="38"/>
        <v>2900338</v>
      </c>
      <c r="AV14" s="1097">
        <f t="shared" si="38"/>
        <v>5905633</v>
      </c>
      <c r="AW14" s="1098">
        <f t="shared" si="38"/>
        <v>2900338</v>
      </c>
      <c r="AX14" s="1099">
        <f t="shared" si="38"/>
        <v>28597</v>
      </c>
      <c r="AY14" s="1097">
        <f t="shared" si="38"/>
        <v>52227</v>
      </c>
      <c r="AZ14" s="1097">
        <f t="shared" si="38"/>
        <v>28597</v>
      </c>
      <c r="BA14" s="1098">
        <f t="shared" si="38"/>
        <v>52227</v>
      </c>
      <c r="BB14" s="1095">
        <f t="shared" si="38"/>
        <v>990537</v>
      </c>
      <c r="BC14" s="1097">
        <f t="shared" si="38"/>
        <v>2306070</v>
      </c>
      <c r="BD14" s="1097">
        <f t="shared" si="38"/>
        <v>990537</v>
      </c>
      <c r="BE14" s="1098">
        <f t="shared" si="38"/>
        <v>2306070</v>
      </c>
      <c r="BF14" s="1099">
        <f t="shared" si="38"/>
        <v>3944598</v>
      </c>
      <c r="BG14" s="1097">
        <f t="shared" si="38"/>
        <v>2971296</v>
      </c>
      <c r="BH14" s="1097">
        <f t="shared" si="38"/>
        <v>3944598</v>
      </c>
      <c r="BI14" s="1098">
        <f t="shared" si="38"/>
        <v>2971296</v>
      </c>
      <c r="BJ14" s="1099">
        <f t="shared" si="38"/>
        <v>1339440</v>
      </c>
      <c r="BK14" s="1097">
        <f t="shared" si="38"/>
        <v>979402</v>
      </c>
      <c r="BL14" s="1097">
        <f t="shared" si="38"/>
        <v>1339440</v>
      </c>
      <c r="BM14" s="1098">
        <f t="shared" si="38"/>
        <v>979402</v>
      </c>
      <c r="BN14" s="1099">
        <f t="shared" si="38"/>
        <v>709353</v>
      </c>
      <c r="BO14" s="1097">
        <f aca="true" t="shared" si="39" ref="BO14:CO14">BO12+BO13</f>
        <v>254742</v>
      </c>
      <c r="BP14" s="1097">
        <f t="shared" si="39"/>
        <v>709353</v>
      </c>
      <c r="BQ14" s="1098">
        <f t="shared" si="39"/>
        <v>254742</v>
      </c>
      <c r="BR14" s="1099">
        <f t="shared" si="39"/>
        <v>116285</v>
      </c>
      <c r="BS14" s="1097">
        <f t="shared" si="39"/>
        <v>373865</v>
      </c>
      <c r="BT14" s="1097">
        <f t="shared" si="39"/>
        <v>116285</v>
      </c>
      <c r="BU14" s="1098">
        <f t="shared" si="39"/>
        <v>373865</v>
      </c>
      <c r="BV14" s="1099">
        <f t="shared" si="39"/>
        <v>0</v>
      </c>
      <c r="BW14" s="1097">
        <f t="shared" si="39"/>
        <v>0</v>
      </c>
      <c r="BX14" s="1097">
        <f t="shared" si="39"/>
        <v>0</v>
      </c>
      <c r="BY14" s="1098">
        <f t="shared" si="39"/>
        <v>0</v>
      </c>
      <c r="BZ14" s="1099">
        <f t="shared" si="39"/>
        <v>1115843</v>
      </c>
      <c r="CA14" s="1097">
        <f t="shared" si="39"/>
        <v>425300</v>
      </c>
      <c r="CB14" s="1097">
        <f t="shared" si="39"/>
        <v>1115843</v>
      </c>
      <c r="CC14" s="1098">
        <f t="shared" si="39"/>
        <v>425300</v>
      </c>
      <c r="CD14" s="1099">
        <f t="shared" si="39"/>
        <v>664459</v>
      </c>
      <c r="CE14" s="1097">
        <f t="shared" si="39"/>
        <v>1112670</v>
      </c>
      <c r="CF14" s="1097">
        <f t="shared" si="39"/>
        <v>664459</v>
      </c>
      <c r="CG14" s="1098">
        <f t="shared" si="39"/>
        <v>1112670</v>
      </c>
      <c r="CH14" s="1099">
        <f t="shared" si="39"/>
        <v>404718</v>
      </c>
      <c r="CI14" s="1097">
        <f t="shared" si="39"/>
        <v>32048</v>
      </c>
      <c r="CJ14" s="1097">
        <f t="shared" si="39"/>
        <v>404718</v>
      </c>
      <c r="CK14" s="1098">
        <f t="shared" si="39"/>
        <v>32048</v>
      </c>
      <c r="CL14" s="1099">
        <f t="shared" si="39"/>
        <v>138347</v>
      </c>
      <c r="CM14" s="1097">
        <f t="shared" si="39"/>
        <v>32758</v>
      </c>
      <c r="CN14" s="1097">
        <f t="shared" si="39"/>
        <v>138347</v>
      </c>
      <c r="CO14" s="1098">
        <f t="shared" si="39"/>
        <v>32758</v>
      </c>
      <c r="CP14" s="1095">
        <f t="shared" si="30"/>
        <v>41465166</v>
      </c>
      <c r="CQ14" s="1099">
        <f t="shared" si="31"/>
        <v>34971659</v>
      </c>
      <c r="CR14" s="1099">
        <f t="shared" si="32"/>
        <v>41465166</v>
      </c>
      <c r="CS14" s="1292">
        <f t="shared" si="33"/>
        <v>34971659</v>
      </c>
      <c r="CT14" s="1105">
        <f>CT12+CT13</f>
        <v>4758677</v>
      </c>
      <c r="CU14" s="1105">
        <f>CU12+CU13</f>
        <v>3308615</v>
      </c>
      <c r="CV14" s="1105">
        <f>CV12+CV13</f>
        <v>4758677</v>
      </c>
      <c r="CW14" s="1106">
        <f>CW12+CW13</f>
        <v>3308615</v>
      </c>
      <c r="CX14" s="1099">
        <f t="shared" si="34"/>
        <v>46223843</v>
      </c>
      <c r="CY14" s="1099">
        <f t="shared" si="10"/>
        <v>38280274</v>
      </c>
      <c r="CZ14" s="1099">
        <f t="shared" si="10"/>
        <v>46223843</v>
      </c>
      <c r="DA14" s="1292">
        <f t="shared" si="10"/>
        <v>38280274</v>
      </c>
    </row>
  </sheetData>
  <sheetProtection/>
  <mergeCells count="29">
    <mergeCell ref="R3:U3"/>
    <mergeCell ref="V3:Y3"/>
    <mergeCell ref="Z3:AC3"/>
    <mergeCell ref="BB3:BE3"/>
    <mergeCell ref="BF3:BI3"/>
    <mergeCell ref="BJ3:BM3"/>
    <mergeCell ref="AP3:AS3"/>
    <mergeCell ref="AT3:AW3"/>
    <mergeCell ref="AX3:BA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9"/>
  <sheetViews>
    <sheetView zoomScalePageLayoutView="0" workbookViewId="0" topLeftCell="A1">
      <pane xSplit="1" topLeftCell="BL1" activePane="topRight" state="frozen"/>
      <selection pane="topLeft" activeCell="A1" sqref="A1"/>
      <selection pane="topRight" activeCell="BO14" sqref="BO14"/>
    </sheetView>
  </sheetViews>
  <sheetFormatPr defaultColWidth="9.140625" defaultRowHeight="15"/>
  <cols>
    <col min="1" max="1" width="84.00390625" style="92" customWidth="1"/>
    <col min="2" max="2" width="11.7109375" style="92" bestFit="1" customWidth="1"/>
    <col min="3" max="3" width="11.421875" style="92" bestFit="1" customWidth="1"/>
    <col min="4" max="4" width="12.421875" style="92" bestFit="1" customWidth="1"/>
    <col min="5" max="5" width="12.8515625" style="92" bestFit="1" customWidth="1"/>
    <col min="6" max="7" width="11.7109375" style="92" bestFit="1" customWidth="1"/>
    <col min="8" max="8" width="12.421875" style="92" bestFit="1" customWidth="1"/>
    <col min="9" max="9" width="12.8515625" style="92" bestFit="1" customWidth="1"/>
    <col min="10" max="11" width="11.421875" style="92" bestFit="1" customWidth="1"/>
    <col min="12" max="12" width="12.421875" style="92" bestFit="1" customWidth="1"/>
    <col min="13" max="13" width="12.8515625" style="92" bestFit="1" customWidth="1"/>
    <col min="14" max="15" width="11.421875" style="92" bestFit="1" customWidth="1"/>
    <col min="16" max="16" width="12.421875" style="92" bestFit="1" customWidth="1"/>
    <col min="17" max="17" width="12.8515625" style="92" bestFit="1" customWidth="1"/>
    <col min="18" max="19" width="11.421875" style="92" bestFit="1" customWidth="1"/>
    <col min="20" max="20" width="12.421875" style="92" bestFit="1" customWidth="1"/>
    <col min="21" max="21" width="12.8515625" style="92" bestFit="1" customWidth="1"/>
    <col min="22" max="23" width="11.421875" style="92" bestFit="1" customWidth="1"/>
    <col min="24" max="25" width="12.8515625" style="92" bestFit="1" customWidth="1"/>
    <col min="26" max="27" width="11.421875" style="92" bestFit="1" customWidth="1"/>
    <col min="28" max="28" width="12.421875" style="92" bestFit="1" customWidth="1"/>
    <col min="29" max="29" width="12.8515625" style="92" bestFit="1" customWidth="1"/>
    <col min="30" max="31" width="11.421875" style="92" bestFit="1" customWidth="1"/>
    <col min="32" max="32" width="12.421875" style="92" bestFit="1" customWidth="1"/>
    <col min="33" max="33" width="12.8515625" style="92" bestFit="1" customWidth="1"/>
    <col min="34" max="35" width="11.421875" style="92" bestFit="1" customWidth="1"/>
    <col min="36" max="37" width="12.421875" style="92" bestFit="1" customWidth="1"/>
    <col min="38" max="39" width="11.421875" style="92" bestFit="1" customWidth="1"/>
    <col min="40" max="41" width="12.421875" style="92" bestFit="1" customWidth="1"/>
    <col min="42" max="43" width="11.7109375" style="92" bestFit="1" customWidth="1"/>
    <col min="44" max="45" width="12.8515625" style="92" bestFit="1" customWidth="1"/>
    <col min="46" max="47" width="11.421875" style="92" bestFit="1" customWidth="1"/>
    <col min="48" max="48" width="12.421875" style="92" bestFit="1" customWidth="1"/>
    <col min="49" max="49" width="12.8515625" style="92" bestFit="1" customWidth="1"/>
    <col min="50" max="51" width="11.421875" style="92" bestFit="1" customWidth="1"/>
    <col min="52" max="53" width="12.8515625" style="92" bestFit="1" customWidth="1"/>
    <col min="54" max="55" width="11.421875" style="92" bestFit="1" customWidth="1"/>
    <col min="56" max="57" width="12.421875" style="92" bestFit="1" customWidth="1"/>
    <col min="58" max="59" width="11.7109375" style="92" bestFit="1" customWidth="1"/>
    <col min="60" max="61" width="12.8515625" style="92" bestFit="1" customWidth="1"/>
    <col min="62" max="63" width="11.421875" style="92" bestFit="1" customWidth="1"/>
    <col min="64" max="65" width="12.421875" style="92" bestFit="1" customWidth="1"/>
    <col min="66" max="66" width="11.421875" style="92" bestFit="1" customWidth="1"/>
    <col min="67" max="67" width="11.7109375" style="92" bestFit="1" customWidth="1"/>
    <col min="68" max="69" width="12.8515625" style="92" bestFit="1" customWidth="1"/>
    <col min="70" max="71" width="11.421875" style="92" bestFit="1" customWidth="1"/>
    <col min="72" max="73" width="12.8515625" style="92" bestFit="1" customWidth="1"/>
    <col min="74" max="74" width="11.421875" style="92" bestFit="1" customWidth="1"/>
    <col min="75" max="75" width="11.7109375" style="92" bestFit="1" customWidth="1"/>
    <col min="76" max="77" width="12.8515625" style="92" bestFit="1" customWidth="1"/>
    <col min="78" max="79" width="11.421875" style="92" bestFit="1" customWidth="1"/>
    <col min="80" max="80" width="12.421875" style="92" bestFit="1" customWidth="1"/>
    <col min="81" max="81" width="12.8515625" style="92" bestFit="1" customWidth="1"/>
    <col min="82" max="83" width="11.7109375" style="92" bestFit="1" customWidth="1"/>
    <col min="84" max="85" width="12.8515625" style="92" bestFit="1" customWidth="1"/>
    <col min="86" max="87" width="11.7109375" style="92" bestFit="1" customWidth="1"/>
    <col min="88" max="89" width="12.8515625" style="92" bestFit="1" customWidth="1"/>
    <col min="90" max="91" width="11.7109375" style="92" bestFit="1" customWidth="1"/>
    <col min="92" max="93" width="12.8515625" style="92" bestFit="1" customWidth="1"/>
    <col min="94" max="95" width="11.7109375" style="92" bestFit="1" customWidth="1"/>
    <col min="96" max="97" width="12.8515625" style="92" bestFit="1" customWidth="1"/>
    <col min="98" max="99" width="11.7109375" style="92" bestFit="1" customWidth="1"/>
    <col min="100" max="101" width="12.8515625" style="92" bestFit="1" customWidth="1"/>
    <col min="102" max="103" width="11.7109375" style="92" bestFit="1" customWidth="1"/>
    <col min="104" max="105" width="12.8515625" style="92" bestFit="1" customWidth="1"/>
    <col min="106" max="110" width="9.140625" style="1490" customWidth="1"/>
    <col min="111" max="16384" width="9.140625" style="92" customWidth="1"/>
  </cols>
  <sheetData>
    <row r="1" spans="1:103" ht="17.25">
      <c r="A1" s="1966" t="s">
        <v>414</v>
      </c>
      <c r="B1" s="1966"/>
      <c r="C1" s="1966"/>
      <c r="D1" s="1966"/>
      <c r="E1" s="1966"/>
      <c r="F1" s="1966"/>
      <c r="G1" s="1966"/>
      <c r="H1" s="1966"/>
      <c r="I1" s="1966"/>
      <c r="J1" s="1966"/>
      <c r="K1" s="1966"/>
      <c r="L1" s="1966"/>
      <c r="M1" s="1966"/>
      <c r="N1" s="1966"/>
      <c r="O1" s="1966"/>
      <c r="P1" s="1966"/>
      <c r="Q1" s="1966"/>
      <c r="R1" s="1966"/>
      <c r="S1" s="1966"/>
      <c r="T1" s="1966"/>
      <c r="U1" s="1966"/>
      <c r="V1" s="1966"/>
      <c r="W1" s="1966"/>
      <c r="X1" s="1966"/>
      <c r="Y1" s="1966"/>
      <c r="Z1" s="1966"/>
      <c r="AA1" s="1966"/>
      <c r="AB1" s="1966"/>
      <c r="AC1" s="1966"/>
      <c r="AD1" s="1966"/>
      <c r="AE1" s="1966"/>
      <c r="AF1" s="1966"/>
      <c r="AG1" s="1966"/>
      <c r="AH1" s="1966"/>
      <c r="AI1" s="1966"/>
      <c r="AJ1" s="1966"/>
      <c r="AK1" s="1966"/>
      <c r="AL1" s="1966"/>
      <c r="AM1" s="1966"/>
      <c r="AN1" s="1966"/>
      <c r="AO1" s="1966"/>
      <c r="AP1" s="1966"/>
      <c r="AQ1" s="1966"/>
      <c r="AR1" s="1966"/>
      <c r="AS1" s="1966"/>
      <c r="AT1" s="1966"/>
      <c r="AU1" s="1966"/>
      <c r="AV1" s="1966"/>
      <c r="AW1" s="1966"/>
      <c r="AX1" s="1966"/>
      <c r="AY1" s="1966"/>
      <c r="AZ1" s="1966"/>
      <c r="BA1" s="1966"/>
      <c r="BB1" s="1966"/>
      <c r="BC1" s="1966"/>
      <c r="BD1" s="1966"/>
      <c r="BE1" s="1966"/>
      <c r="BF1" s="1966"/>
      <c r="BG1" s="1966"/>
      <c r="BH1" s="1966"/>
      <c r="BI1" s="1966"/>
      <c r="BJ1" s="1966"/>
      <c r="BK1" s="1966"/>
      <c r="BL1" s="1966"/>
      <c r="BM1" s="1966"/>
      <c r="BN1" s="1966"/>
      <c r="BO1" s="1966"/>
      <c r="BP1" s="1966"/>
      <c r="BQ1" s="1966"/>
      <c r="BR1" s="1966"/>
      <c r="BS1" s="1966"/>
      <c r="BT1" s="1966"/>
      <c r="BU1" s="1966"/>
      <c r="BV1" s="1966"/>
      <c r="BW1" s="1966"/>
      <c r="BX1" s="1966"/>
      <c r="BY1" s="1966"/>
      <c r="BZ1" s="1966"/>
      <c r="CA1" s="1966"/>
      <c r="CB1" s="1966"/>
      <c r="CC1" s="1966"/>
      <c r="CD1" s="1966"/>
      <c r="CE1" s="1966"/>
      <c r="CF1" s="1966"/>
      <c r="CG1" s="1966"/>
      <c r="CH1" s="1966"/>
      <c r="CI1" s="1966"/>
      <c r="CJ1" s="1966"/>
      <c r="CK1" s="1966"/>
      <c r="CL1" s="1966"/>
      <c r="CM1" s="1966"/>
      <c r="CN1" s="1966"/>
      <c r="CO1" s="1966"/>
      <c r="CP1" s="1966"/>
      <c r="CQ1" s="1966"/>
      <c r="CR1" s="1966"/>
      <c r="CS1" s="1966"/>
      <c r="CT1" s="1966"/>
      <c r="CU1" s="1966"/>
      <c r="CV1" s="1966"/>
      <c r="CW1" s="1966"/>
      <c r="CX1" s="1966"/>
      <c r="CY1" s="1966"/>
    </row>
    <row r="2" spans="1:110" s="943" customFormat="1" ht="17.25" thickBot="1">
      <c r="A2" s="2116" t="s">
        <v>185</v>
      </c>
      <c r="B2" s="2116"/>
      <c r="C2" s="2116"/>
      <c r="D2" s="2116"/>
      <c r="E2" s="2116"/>
      <c r="F2" s="2116"/>
      <c r="G2" s="2116"/>
      <c r="H2" s="2116"/>
      <c r="I2" s="2116"/>
      <c r="J2" s="2116"/>
      <c r="K2" s="2116"/>
      <c r="L2" s="2116"/>
      <c r="M2" s="2116"/>
      <c r="N2" s="2116"/>
      <c r="O2" s="2116"/>
      <c r="P2" s="2116"/>
      <c r="Q2" s="2116"/>
      <c r="R2" s="2116"/>
      <c r="S2" s="2116"/>
      <c r="T2" s="2116"/>
      <c r="U2" s="2116"/>
      <c r="V2" s="2116"/>
      <c r="W2" s="2116"/>
      <c r="X2" s="2116"/>
      <c r="Y2" s="2116"/>
      <c r="Z2" s="2116"/>
      <c r="AA2" s="2116"/>
      <c r="AB2" s="2116"/>
      <c r="AC2" s="2116"/>
      <c r="AD2" s="2116"/>
      <c r="AE2" s="2116"/>
      <c r="AF2" s="2116"/>
      <c r="AG2" s="2116"/>
      <c r="AH2" s="2116"/>
      <c r="AI2" s="2116"/>
      <c r="AJ2" s="2116"/>
      <c r="AK2" s="2116"/>
      <c r="AL2" s="2116"/>
      <c r="AM2" s="2116"/>
      <c r="AN2" s="2116"/>
      <c r="AO2" s="2116"/>
      <c r="AP2" s="2116"/>
      <c r="AQ2" s="2116"/>
      <c r="AR2" s="2116"/>
      <c r="AS2" s="2116"/>
      <c r="AT2" s="2116"/>
      <c r="AU2" s="2116"/>
      <c r="AV2" s="2116"/>
      <c r="AW2" s="2116"/>
      <c r="AX2" s="2116"/>
      <c r="AY2" s="2116"/>
      <c r="AZ2" s="2116"/>
      <c r="BA2" s="2116"/>
      <c r="BB2" s="2116"/>
      <c r="BC2" s="2116"/>
      <c r="BD2" s="2116"/>
      <c r="BE2" s="2116"/>
      <c r="BF2" s="2116"/>
      <c r="BG2" s="2116"/>
      <c r="BH2" s="2116"/>
      <c r="BI2" s="2116"/>
      <c r="BJ2" s="2116"/>
      <c r="BK2" s="2116"/>
      <c r="BL2" s="2116"/>
      <c r="BM2" s="2116"/>
      <c r="BN2" s="2116"/>
      <c r="BO2" s="2116"/>
      <c r="BP2" s="2116"/>
      <c r="BQ2" s="2116"/>
      <c r="BR2" s="2116"/>
      <c r="BS2" s="2116"/>
      <c r="BT2" s="2116"/>
      <c r="BU2" s="2116"/>
      <c r="BV2" s="2116"/>
      <c r="BW2" s="2116"/>
      <c r="BX2" s="2116"/>
      <c r="BY2" s="2116"/>
      <c r="BZ2" s="2116"/>
      <c r="CA2" s="2116"/>
      <c r="CB2" s="2116"/>
      <c r="CC2" s="2116"/>
      <c r="CD2" s="2116"/>
      <c r="CE2" s="2116"/>
      <c r="CF2" s="2116"/>
      <c r="CG2" s="2116"/>
      <c r="CH2" s="2116"/>
      <c r="CI2" s="2116"/>
      <c r="CJ2" s="2116"/>
      <c r="CK2" s="2116"/>
      <c r="CL2" s="2116"/>
      <c r="CM2" s="2116"/>
      <c r="CN2" s="2116"/>
      <c r="CO2" s="2116"/>
      <c r="CP2" s="2116"/>
      <c r="CQ2" s="2116"/>
      <c r="CR2" s="2116"/>
      <c r="CS2" s="2116"/>
      <c r="CT2" s="2116"/>
      <c r="CU2" s="2116"/>
      <c r="CV2" s="2116"/>
      <c r="CW2" s="2116"/>
      <c r="CX2" s="2116"/>
      <c r="CY2" s="2116"/>
      <c r="DB2" s="1491"/>
      <c r="DC2" s="1491"/>
      <c r="DD2" s="1491"/>
      <c r="DE2" s="1491"/>
      <c r="DF2" s="1491"/>
    </row>
    <row r="3" spans="1:110" s="943" customFormat="1" ht="17.25" customHeight="1" thickBot="1">
      <c r="A3" s="2117" t="s">
        <v>14</v>
      </c>
      <c r="B3" s="2111" t="s">
        <v>187</v>
      </c>
      <c r="C3" s="2112"/>
      <c r="D3" s="2112"/>
      <c r="E3" s="2112"/>
      <c r="F3" s="2111" t="s">
        <v>188</v>
      </c>
      <c r="G3" s="2112"/>
      <c r="H3" s="2112"/>
      <c r="I3" s="2119"/>
      <c r="J3" s="2111" t="s">
        <v>189</v>
      </c>
      <c r="K3" s="2112"/>
      <c r="L3" s="2112"/>
      <c r="M3" s="2119"/>
      <c r="N3" s="2112" t="s">
        <v>190</v>
      </c>
      <c r="O3" s="2112"/>
      <c r="P3" s="2112"/>
      <c r="Q3" s="2112"/>
      <c r="R3" s="2111" t="s">
        <v>191</v>
      </c>
      <c r="S3" s="2112"/>
      <c r="T3" s="2112"/>
      <c r="U3" s="2112"/>
      <c r="V3" s="2111" t="s">
        <v>192</v>
      </c>
      <c r="W3" s="2112"/>
      <c r="X3" s="2112"/>
      <c r="Y3" s="2112"/>
      <c r="Z3" s="2111" t="s">
        <v>193</v>
      </c>
      <c r="AA3" s="2112"/>
      <c r="AB3" s="2112"/>
      <c r="AC3" s="2119"/>
      <c r="AD3" s="2111" t="s">
        <v>194</v>
      </c>
      <c r="AE3" s="2112"/>
      <c r="AF3" s="2112"/>
      <c r="AG3" s="2119"/>
      <c r="AH3" s="2111" t="s">
        <v>195</v>
      </c>
      <c r="AI3" s="2112"/>
      <c r="AJ3" s="2112"/>
      <c r="AK3" s="2112"/>
      <c r="AL3" s="2111" t="s">
        <v>196</v>
      </c>
      <c r="AM3" s="2112"/>
      <c r="AN3" s="2112"/>
      <c r="AO3" s="2119"/>
      <c r="AP3" s="2111" t="s">
        <v>197</v>
      </c>
      <c r="AQ3" s="2112"/>
      <c r="AR3" s="2112"/>
      <c r="AS3" s="2112"/>
      <c r="AT3" s="2111" t="s">
        <v>198</v>
      </c>
      <c r="AU3" s="2112"/>
      <c r="AV3" s="2112"/>
      <c r="AW3" s="2119"/>
      <c r="AX3" s="2111" t="s">
        <v>199</v>
      </c>
      <c r="AY3" s="2112"/>
      <c r="AZ3" s="2112"/>
      <c r="BA3" s="2119"/>
      <c r="BB3" s="2112" t="s">
        <v>200</v>
      </c>
      <c r="BC3" s="2112"/>
      <c r="BD3" s="2112"/>
      <c r="BE3" s="2112"/>
      <c r="BF3" s="2108" t="s">
        <v>201</v>
      </c>
      <c r="BG3" s="2109"/>
      <c r="BH3" s="2109"/>
      <c r="BI3" s="2110"/>
      <c r="BJ3" s="2106" t="s">
        <v>202</v>
      </c>
      <c r="BK3" s="2106"/>
      <c r="BL3" s="2106"/>
      <c r="BM3" s="2106"/>
      <c r="BN3" s="2105" t="s">
        <v>203</v>
      </c>
      <c r="BO3" s="2106"/>
      <c r="BP3" s="2106"/>
      <c r="BQ3" s="2107"/>
      <c r="BR3" s="2106" t="s">
        <v>204</v>
      </c>
      <c r="BS3" s="2106"/>
      <c r="BT3" s="2106"/>
      <c r="BU3" s="2106"/>
      <c r="BV3" s="2113" t="s">
        <v>205</v>
      </c>
      <c r="BW3" s="2114"/>
      <c r="BX3" s="2114"/>
      <c r="BY3" s="2115"/>
      <c r="BZ3" s="2111" t="s">
        <v>206</v>
      </c>
      <c r="CA3" s="2112"/>
      <c r="CB3" s="2112"/>
      <c r="CC3" s="2112"/>
      <c r="CD3" s="2111" t="s">
        <v>207</v>
      </c>
      <c r="CE3" s="2112"/>
      <c r="CF3" s="2112"/>
      <c r="CG3" s="2112"/>
      <c r="CH3" s="2105" t="s">
        <v>208</v>
      </c>
      <c r="CI3" s="2106"/>
      <c r="CJ3" s="2106"/>
      <c r="CK3" s="2106"/>
      <c r="CL3" s="2105" t="s">
        <v>209</v>
      </c>
      <c r="CM3" s="2106"/>
      <c r="CN3" s="2106"/>
      <c r="CO3" s="2106"/>
      <c r="CP3" s="2105" t="s">
        <v>1</v>
      </c>
      <c r="CQ3" s="2106"/>
      <c r="CR3" s="2106"/>
      <c r="CS3" s="2107"/>
      <c r="CT3" s="2108" t="s">
        <v>210</v>
      </c>
      <c r="CU3" s="2109"/>
      <c r="CV3" s="2109"/>
      <c r="CW3" s="2110"/>
      <c r="CX3" s="2108" t="s">
        <v>2</v>
      </c>
      <c r="CY3" s="2109"/>
      <c r="CZ3" s="2109"/>
      <c r="DA3" s="2110"/>
      <c r="DB3" s="1491"/>
      <c r="DC3" s="1491"/>
      <c r="DD3" s="1491"/>
      <c r="DE3" s="1491"/>
      <c r="DF3" s="1491"/>
    </row>
    <row r="4" spans="1:110" s="729" customFormat="1" ht="17.25" thickBot="1">
      <c r="A4" s="2118"/>
      <c r="B4" s="811" t="s">
        <v>440</v>
      </c>
      <c r="C4" s="812" t="s">
        <v>441</v>
      </c>
      <c r="D4" s="812" t="s">
        <v>444</v>
      </c>
      <c r="E4" s="813" t="s">
        <v>445</v>
      </c>
      <c r="F4" s="811" t="s">
        <v>440</v>
      </c>
      <c r="G4" s="812" t="s">
        <v>441</v>
      </c>
      <c r="H4" s="812" t="s">
        <v>444</v>
      </c>
      <c r="I4" s="813" t="s">
        <v>445</v>
      </c>
      <c r="J4" s="811" t="s">
        <v>440</v>
      </c>
      <c r="K4" s="812" t="s">
        <v>441</v>
      </c>
      <c r="L4" s="812" t="s">
        <v>444</v>
      </c>
      <c r="M4" s="813" t="s">
        <v>445</v>
      </c>
      <c r="N4" s="812" t="s">
        <v>440</v>
      </c>
      <c r="O4" s="812" t="s">
        <v>441</v>
      </c>
      <c r="P4" s="812" t="s">
        <v>444</v>
      </c>
      <c r="Q4" s="813" t="s">
        <v>445</v>
      </c>
      <c r="R4" s="811" t="s">
        <v>440</v>
      </c>
      <c r="S4" s="812" t="s">
        <v>441</v>
      </c>
      <c r="T4" s="812" t="s">
        <v>444</v>
      </c>
      <c r="U4" s="812" t="s">
        <v>445</v>
      </c>
      <c r="V4" s="811" t="s">
        <v>440</v>
      </c>
      <c r="W4" s="812" t="s">
        <v>441</v>
      </c>
      <c r="X4" s="812" t="s">
        <v>444</v>
      </c>
      <c r="Y4" s="813" t="s">
        <v>445</v>
      </c>
      <c r="Z4" s="811" t="s">
        <v>440</v>
      </c>
      <c r="AA4" s="812" t="s">
        <v>441</v>
      </c>
      <c r="AB4" s="812" t="s">
        <v>444</v>
      </c>
      <c r="AC4" s="813" t="s">
        <v>445</v>
      </c>
      <c r="AD4" s="811" t="s">
        <v>440</v>
      </c>
      <c r="AE4" s="812" t="s">
        <v>441</v>
      </c>
      <c r="AF4" s="812" t="s">
        <v>444</v>
      </c>
      <c r="AG4" s="813" t="s">
        <v>445</v>
      </c>
      <c r="AH4" s="811" t="s">
        <v>440</v>
      </c>
      <c r="AI4" s="812" t="s">
        <v>441</v>
      </c>
      <c r="AJ4" s="812" t="s">
        <v>444</v>
      </c>
      <c r="AK4" s="812" t="s">
        <v>445</v>
      </c>
      <c r="AL4" s="811" t="s">
        <v>440</v>
      </c>
      <c r="AM4" s="812" t="s">
        <v>441</v>
      </c>
      <c r="AN4" s="812" t="s">
        <v>444</v>
      </c>
      <c r="AO4" s="813" t="s">
        <v>445</v>
      </c>
      <c r="AP4" s="811" t="s">
        <v>440</v>
      </c>
      <c r="AQ4" s="812" t="s">
        <v>441</v>
      </c>
      <c r="AR4" s="812" t="s">
        <v>444</v>
      </c>
      <c r="AS4" s="812" t="s">
        <v>445</v>
      </c>
      <c r="AT4" s="811" t="s">
        <v>440</v>
      </c>
      <c r="AU4" s="812" t="s">
        <v>441</v>
      </c>
      <c r="AV4" s="812" t="s">
        <v>444</v>
      </c>
      <c r="AW4" s="813" t="s">
        <v>445</v>
      </c>
      <c r="AX4" s="811" t="s">
        <v>440</v>
      </c>
      <c r="AY4" s="812" t="s">
        <v>441</v>
      </c>
      <c r="AZ4" s="812" t="s">
        <v>444</v>
      </c>
      <c r="BA4" s="813" t="s">
        <v>445</v>
      </c>
      <c r="BB4" s="812" t="s">
        <v>440</v>
      </c>
      <c r="BC4" s="812" t="s">
        <v>441</v>
      </c>
      <c r="BD4" s="812" t="s">
        <v>444</v>
      </c>
      <c r="BE4" s="813" t="s">
        <v>445</v>
      </c>
      <c r="BF4" s="811" t="s">
        <v>440</v>
      </c>
      <c r="BG4" s="812" t="s">
        <v>441</v>
      </c>
      <c r="BH4" s="812" t="s">
        <v>444</v>
      </c>
      <c r="BI4" s="813" t="s">
        <v>445</v>
      </c>
      <c r="BJ4" s="812" t="s">
        <v>440</v>
      </c>
      <c r="BK4" s="812" t="s">
        <v>441</v>
      </c>
      <c r="BL4" s="812" t="s">
        <v>444</v>
      </c>
      <c r="BM4" s="813" t="s">
        <v>445</v>
      </c>
      <c r="BN4" s="811" t="s">
        <v>440</v>
      </c>
      <c r="BO4" s="812" t="s">
        <v>441</v>
      </c>
      <c r="BP4" s="812" t="s">
        <v>444</v>
      </c>
      <c r="BQ4" s="813" t="s">
        <v>445</v>
      </c>
      <c r="BR4" s="811" t="s">
        <v>440</v>
      </c>
      <c r="BS4" s="812" t="s">
        <v>441</v>
      </c>
      <c r="BT4" s="812" t="s">
        <v>444</v>
      </c>
      <c r="BU4" s="813" t="s">
        <v>445</v>
      </c>
      <c r="BV4" s="811" t="s">
        <v>440</v>
      </c>
      <c r="BW4" s="812" t="s">
        <v>441</v>
      </c>
      <c r="BX4" s="812" t="s">
        <v>444</v>
      </c>
      <c r="BY4" s="813" t="s">
        <v>445</v>
      </c>
      <c r="BZ4" s="811" t="s">
        <v>440</v>
      </c>
      <c r="CA4" s="812" t="s">
        <v>441</v>
      </c>
      <c r="CB4" s="812" t="s">
        <v>444</v>
      </c>
      <c r="CC4" s="813" t="s">
        <v>445</v>
      </c>
      <c r="CD4" s="811" t="s">
        <v>440</v>
      </c>
      <c r="CE4" s="812" t="s">
        <v>441</v>
      </c>
      <c r="CF4" s="812" t="s">
        <v>444</v>
      </c>
      <c r="CG4" s="812" t="s">
        <v>445</v>
      </c>
      <c r="CH4" s="811" t="s">
        <v>440</v>
      </c>
      <c r="CI4" s="812" t="s">
        <v>441</v>
      </c>
      <c r="CJ4" s="812" t="s">
        <v>444</v>
      </c>
      <c r="CK4" s="813" t="s">
        <v>445</v>
      </c>
      <c r="CL4" s="811" t="s">
        <v>440</v>
      </c>
      <c r="CM4" s="812" t="s">
        <v>441</v>
      </c>
      <c r="CN4" s="812" t="s">
        <v>444</v>
      </c>
      <c r="CO4" s="812" t="s">
        <v>445</v>
      </c>
      <c r="CP4" s="811" t="s">
        <v>440</v>
      </c>
      <c r="CQ4" s="812" t="s">
        <v>441</v>
      </c>
      <c r="CR4" s="812" t="s">
        <v>444</v>
      </c>
      <c r="CS4" s="813" t="s">
        <v>445</v>
      </c>
      <c r="CT4" s="811" t="s">
        <v>440</v>
      </c>
      <c r="CU4" s="812" t="s">
        <v>441</v>
      </c>
      <c r="CV4" s="812" t="s">
        <v>444</v>
      </c>
      <c r="CW4" s="813" t="s">
        <v>445</v>
      </c>
      <c r="CX4" s="811" t="s">
        <v>440</v>
      </c>
      <c r="CY4" s="812" t="s">
        <v>441</v>
      </c>
      <c r="CZ4" s="812" t="s">
        <v>444</v>
      </c>
      <c r="DA4" s="813" t="s">
        <v>445</v>
      </c>
      <c r="DB4" s="801"/>
      <c r="DC4" s="801"/>
      <c r="DD4" s="801"/>
      <c r="DE4" s="801"/>
      <c r="DF4" s="1492"/>
    </row>
    <row r="5" spans="1:105" ht="17.25">
      <c r="A5" s="340" t="s">
        <v>3</v>
      </c>
      <c r="B5" s="656">
        <v>159</v>
      </c>
      <c r="C5" s="657">
        <v>148.03</v>
      </c>
      <c r="D5" s="657">
        <f>B5</f>
        <v>159</v>
      </c>
      <c r="E5" s="658">
        <f>C5</f>
        <v>148.03</v>
      </c>
      <c r="F5" s="659">
        <v>0.02</v>
      </c>
      <c r="G5" s="660">
        <v>-0.02</v>
      </c>
      <c r="H5" s="660">
        <f>F5</f>
        <v>0.02</v>
      </c>
      <c r="I5" s="660">
        <f>G5</f>
        <v>-0.02</v>
      </c>
      <c r="J5" s="659">
        <v>8.53</v>
      </c>
      <c r="K5" s="660">
        <v>12.91</v>
      </c>
      <c r="L5" s="660">
        <f>J5</f>
        <v>8.53</v>
      </c>
      <c r="M5" s="662">
        <f>K5</f>
        <v>12.91</v>
      </c>
      <c r="N5" s="663">
        <v>195</v>
      </c>
      <c r="O5" s="660">
        <v>222</v>
      </c>
      <c r="P5" s="660">
        <f>N5</f>
        <v>195</v>
      </c>
      <c r="Q5" s="660">
        <f>O5</f>
        <v>222</v>
      </c>
      <c r="R5" s="659">
        <v>40</v>
      </c>
      <c r="S5" s="660">
        <v>34</v>
      </c>
      <c r="T5" s="660">
        <f>R5</f>
        <v>40</v>
      </c>
      <c r="U5" s="661">
        <f>S5</f>
        <v>34</v>
      </c>
      <c r="V5" s="659"/>
      <c r="W5" s="660"/>
      <c r="X5" s="660"/>
      <c r="Y5" s="661"/>
      <c r="Z5" s="659">
        <v>15.88</v>
      </c>
      <c r="AA5" s="660">
        <v>23.74</v>
      </c>
      <c r="AB5" s="660">
        <f>Z5</f>
        <v>15.88</v>
      </c>
      <c r="AC5" s="660">
        <f>AA5</f>
        <v>23.74</v>
      </c>
      <c r="AD5" s="664">
        <v>26.16</v>
      </c>
      <c r="AE5" s="665">
        <v>27.55</v>
      </c>
      <c r="AF5" s="55">
        <f>AD5</f>
        <v>26.16</v>
      </c>
      <c r="AG5" s="55">
        <f>AE5</f>
        <v>27.55</v>
      </c>
      <c r="AH5" s="664">
        <v>74.14</v>
      </c>
      <c r="AI5" s="55">
        <v>80.72</v>
      </c>
      <c r="AJ5" s="55">
        <f>AH5</f>
        <v>74.14</v>
      </c>
      <c r="AK5" s="1062">
        <f>AI5</f>
        <v>80.72</v>
      </c>
      <c r="AL5" s="664">
        <v>6.78</v>
      </c>
      <c r="AM5" s="55">
        <v>13.83</v>
      </c>
      <c r="AN5" s="55">
        <f>AL5</f>
        <v>6.78</v>
      </c>
      <c r="AO5" s="66">
        <f>AM5</f>
        <v>13.83</v>
      </c>
      <c r="AP5" s="664">
        <v>256</v>
      </c>
      <c r="AQ5" s="55">
        <v>182.22</v>
      </c>
      <c r="AR5" s="55">
        <f>AP5</f>
        <v>256</v>
      </c>
      <c r="AS5" s="1062">
        <f>AQ5</f>
        <v>182.22</v>
      </c>
      <c r="AT5" s="664">
        <v>333.5</v>
      </c>
      <c r="AU5" s="55">
        <v>320.9</v>
      </c>
      <c r="AV5" s="55">
        <f>AT5</f>
        <v>333.5</v>
      </c>
      <c r="AW5" s="66">
        <f>AU5</f>
        <v>320.9</v>
      </c>
      <c r="AX5" s="1065">
        <v>6.79</v>
      </c>
      <c r="AY5" s="666">
        <v>10.47</v>
      </c>
      <c r="AZ5" s="666">
        <f>AX5</f>
        <v>6.79</v>
      </c>
      <c r="BA5" s="667">
        <f>AY5</f>
        <v>10.47</v>
      </c>
      <c r="BB5" s="65">
        <v>5.09</v>
      </c>
      <c r="BC5" s="660">
        <v>3.43</v>
      </c>
      <c r="BD5" s="660">
        <f>BB5</f>
        <v>5.09</v>
      </c>
      <c r="BE5" s="660">
        <f>BC5</f>
        <v>3.43</v>
      </c>
      <c r="BF5" s="659">
        <v>121.08</v>
      </c>
      <c r="BG5" s="660">
        <v>108.61</v>
      </c>
      <c r="BH5" s="660">
        <f>BF5</f>
        <v>121.08</v>
      </c>
      <c r="BI5" s="662">
        <f>BG5</f>
        <v>108.61</v>
      </c>
      <c r="BJ5" s="663">
        <v>214</v>
      </c>
      <c r="BK5" s="660">
        <v>207.86</v>
      </c>
      <c r="BL5" s="660">
        <f>BJ5</f>
        <v>214</v>
      </c>
      <c r="BM5" s="660">
        <f>BK5</f>
        <v>207.86</v>
      </c>
      <c r="BN5" s="659">
        <v>11.6</v>
      </c>
      <c r="BO5" s="660">
        <v>12.66</v>
      </c>
      <c r="BP5" s="660">
        <f>BN5</f>
        <v>11.6</v>
      </c>
      <c r="BQ5" s="660">
        <f>BO5</f>
        <v>12.66</v>
      </c>
      <c r="BR5" s="663">
        <v>117.05</v>
      </c>
      <c r="BS5" s="660">
        <v>104.24</v>
      </c>
      <c r="BT5" s="660">
        <f>BR5</f>
        <v>117.05</v>
      </c>
      <c r="BU5" s="660">
        <f>BS5</f>
        <v>104.24</v>
      </c>
      <c r="BV5" s="1067"/>
      <c r="BW5" s="660"/>
      <c r="BX5" s="660"/>
      <c r="BY5" s="662"/>
      <c r="BZ5" s="1523">
        <v>559</v>
      </c>
      <c r="CA5" s="668">
        <v>441</v>
      </c>
      <c r="CB5" s="668">
        <f>BZ5</f>
        <v>559</v>
      </c>
      <c r="CC5" s="668">
        <f>CA5</f>
        <v>441</v>
      </c>
      <c r="CD5" s="669">
        <v>5.6</v>
      </c>
      <c r="CE5" s="670">
        <v>6.63</v>
      </c>
      <c r="CF5" s="670">
        <f>CD5</f>
        <v>5.6</v>
      </c>
      <c r="CG5" s="1519">
        <f>CE5</f>
        <v>6.63</v>
      </c>
      <c r="CH5" s="673">
        <v>0.11</v>
      </c>
      <c r="CI5" s="671">
        <v>0.43</v>
      </c>
      <c r="CJ5" s="671">
        <f>CH5</f>
        <v>0.11</v>
      </c>
      <c r="CK5" s="671">
        <f>CI5</f>
        <v>0.43</v>
      </c>
      <c r="CL5" s="659">
        <v>150.75</v>
      </c>
      <c r="CM5" s="660">
        <v>80.42</v>
      </c>
      <c r="CN5" s="660">
        <f>CL5</f>
        <v>150.75</v>
      </c>
      <c r="CO5" s="661">
        <f>CM5</f>
        <v>80.42</v>
      </c>
      <c r="CP5" s="674">
        <f>SUM(B5+F5+J5+N5+R5+V5+Z5+AD5+AH5+AL5+AP5+AT5+AX5+BB5+BF5+BJ5+BN5+BR5+BV5+BZ5+CD5+CH5+CL5)</f>
        <v>2306.08</v>
      </c>
      <c r="CQ5" s="672">
        <f>SUM(C5+G5+K5+O5+S5+W5+AA5+AE5+AI5+AM5+AQ5+AU5+AY5+BC5+BG5+BK5+BO5+BS5+BW5+CA5+CE5+CI5+CM5)</f>
        <v>2041.6300000000003</v>
      </c>
      <c r="CR5" s="672">
        <f>SUM(D5+H5+L5+P5+T5+X5+AB5+AF5+AJ5+AN5+AR5+AV5+AZ5+BD5+BH5+BL5+BP5+BT5+BX5+CB5+CF5+CJ5+CN5)</f>
        <v>2306.08</v>
      </c>
      <c r="CS5" s="1515">
        <f>SUM(E5+I5+M5+Q5+U5+Y5+AC5+AG5+AK5+AO5+AS5+AW5+BA5+BE5+BI5+BM5+BQ5+BU5+BY5+CC5+CG5+CK5+CO5)</f>
        <v>2041.6300000000003</v>
      </c>
      <c r="CT5" s="673">
        <v>8729.15</v>
      </c>
      <c r="CU5" s="671">
        <v>8317.58</v>
      </c>
      <c r="CV5" s="671">
        <f>CT5</f>
        <v>8729.15</v>
      </c>
      <c r="CW5" s="671">
        <f>CU5</f>
        <v>8317.58</v>
      </c>
      <c r="CX5" s="674">
        <f>CP5+CT5</f>
        <v>11035.23</v>
      </c>
      <c r="CY5" s="674">
        <f aca="true" t="shared" si="0" ref="CY5:DA18">CQ5+CU5</f>
        <v>10359.210000000001</v>
      </c>
      <c r="CZ5" s="674">
        <f t="shared" si="0"/>
        <v>11035.23</v>
      </c>
      <c r="DA5" s="675">
        <f t="shared" si="0"/>
        <v>10359.210000000001</v>
      </c>
    </row>
    <row r="6" spans="1:105" ht="17.25">
      <c r="A6" s="140" t="s">
        <v>4</v>
      </c>
      <c r="B6" s="339">
        <v>143</v>
      </c>
      <c r="C6" s="93">
        <v>77.31</v>
      </c>
      <c r="D6" s="657">
        <f aca="true" t="shared" si="1" ref="D6:D15">B6</f>
        <v>143</v>
      </c>
      <c r="E6" s="658">
        <f aca="true" t="shared" si="2" ref="E6:E15">C6</f>
        <v>77.31</v>
      </c>
      <c r="F6" s="95">
        <v>0.04</v>
      </c>
      <c r="G6" s="96">
        <v>0.22</v>
      </c>
      <c r="H6" s="660">
        <f aca="true" t="shared" si="3" ref="H6:H15">F6</f>
        <v>0.04</v>
      </c>
      <c r="I6" s="660">
        <f aca="true" t="shared" si="4" ref="I6:I15">G6</f>
        <v>0.22</v>
      </c>
      <c r="J6" s="95">
        <v>1.64</v>
      </c>
      <c r="K6" s="96">
        <v>4.25</v>
      </c>
      <c r="L6" s="660">
        <f aca="true" t="shared" si="5" ref="L6:L11">J6</f>
        <v>1.64</v>
      </c>
      <c r="M6" s="662">
        <f aca="true" t="shared" si="6" ref="M6:M11">K6</f>
        <v>4.25</v>
      </c>
      <c r="N6" s="101">
        <v>35</v>
      </c>
      <c r="O6" s="96">
        <v>8</v>
      </c>
      <c r="P6" s="660">
        <f aca="true" t="shared" si="7" ref="P6:P15">N6</f>
        <v>35</v>
      </c>
      <c r="Q6" s="660">
        <f aca="true" t="shared" si="8" ref="Q6:Q15">O6</f>
        <v>8</v>
      </c>
      <c r="R6" s="95">
        <v>2</v>
      </c>
      <c r="S6" s="96"/>
      <c r="T6" s="660">
        <f aca="true" t="shared" si="9" ref="T6:T11">R6</f>
        <v>2</v>
      </c>
      <c r="U6" s="661">
        <f aca="true" t="shared" si="10" ref="U6:U11">S6</f>
        <v>0</v>
      </c>
      <c r="V6" s="659">
        <v>172.29</v>
      </c>
      <c r="W6" s="660">
        <v>138.41</v>
      </c>
      <c r="X6" s="96">
        <f aca="true" t="shared" si="11" ref="X6:Y11">V6</f>
        <v>172.29</v>
      </c>
      <c r="Y6" s="96">
        <f t="shared" si="11"/>
        <v>138.41</v>
      </c>
      <c r="Z6" s="95">
        <v>2.31</v>
      </c>
      <c r="AA6" s="96">
        <v>2.61</v>
      </c>
      <c r="AB6" s="660">
        <f aca="true" t="shared" si="12" ref="AB6:AB11">Z6</f>
        <v>2.31</v>
      </c>
      <c r="AC6" s="660">
        <f aca="true" t="shared" si="13" ref="AC6:AC11">AA6</f>
        <v>2.61</v>
      </c>
      <c r="AD6" s="2">
        <v>3.89</v>
      </c>
      <c r="AE6" s="99">
        <v>5.2</v>
      </c>
      <c r="AF6" s="55">
        <f aca="true" t="shared" si="14" ref="AF6:AF11">AD6</f>
        <v>3.89</v>
      </c>
      <c r="AG6" s="55">
        <f aca="true" t="shared" si="15" ref="AG6:AG11">AE6</f>
        <v>5.2</v>
      </c>
      <c r="AH6" s="2">
        <v>7.47</v>
      </c>
      <c r="AI6" s="3">
        <v>8.15</v>
      </c>
      <c r="AJ6" s="55">
        <f aca="true" t="shared" si="16" ref="AJ6:AJ13">AH6</f>
        <v>7.47</v>
      </c>
      <c r="AK6" s="1062">
        <f aca="true" t="shared" si="17" ref="AK6:AK13">AI6</f>
        <v>8.15</v>
      </c>
      <c r="AL6" s="2">
        <v>9.79</v>
      </c>
      <c r="AM6" s="3">
        <v>8.06</v>
      </c>
      <c r="AN6" s="55">
        <f aca="true" t="shared" si="18" ref="AN6:AN11">AL6</f>
        <v>9.79</v>
      </c>
      <c r="AO6" s="66">
        <f aca="true" t="shared" si="19" ref="AO6:AO11">AM6</f>
        <v>8.06</v>
      </c>
      <c r="AP6" s="2">
        <v>849</v>
      </c>
      <c r="AQ6" s="3">
        <v>569.74</v>
      </c>
      <c r="AR6" s="55">
        <f aca="true" t="shared" si="20" ref="AR6:AR15">AP6</f>
        <v>849</v>
      </c>
      <c r="AS6" s="1062">
        <f aca="true" t="shared" si="21" ref="AS6:AS15">AQ6</f>
        <v>569.74</v>
      </c>
      <c r="AT6" s="2">
        <v>793.3</v>
      </c>
      <c r="AU6" s="3">
        <v>823.6</v>
      </c>
      <c r="AV6" s="55">
        <f aca="true" t="shared" si="22" ref="AV6:AV15">AT6</f>
        <v>793.3</v>
      </c>
      <c r="AW6" s="66">
        <f aca="true" t="shared" si="23" ref="AW6:AW15">AU6</f>
        <v>823.6</v>
      </c>
      <c r="AX6" s="312">
        <v>65.72</v>
      </c>
      <c r="AY6" s="5">
        <v>78.07</v>
      </c>
      <c r="AZ6" s="666">
        <f aca="true" t="shared" si="24" ref="AZ6:AZ11">AX6</f>
        <v>65.72</v>
      </c>
      <c r="BA6" s="667">
        <f aca="true" t="shared" si="25" ref="BA6:BA11">AY6</f>
        <v>78.07</v>
      </c>
      <c r="BB6" s="26">
        <v>107.93</v>
      </c>
      <c r="BC6" s="96">
        <v>93.21</v>
      </c>
      <c r="BD6" s="660">
        <f aca="true" t="shared" si="26" ref="BD6:BD11">BB6</f>
        <v>107.93</v>
      </c>
      <c r="BE6" s="660">
        <f aca="true" t="shared" si="27" ref="BE6:BE11">BC6</f>
        <v>93.21</v>
      </c>
      <c r="BF6" s="95">
        <v>133.95</v>
      </c>
      <c r="BG6" s="96">
        <v>135.96</v>
      </c>
      <c r="BH6" s="660">
        <f aca="true" t="shared" si="28" ref="BH6:BH12">BF6</f>
        <v>133.95</v>
      </c>
      <c r="BI6" s="662">
        <f aca="true" t="shared" si="29" ref="BI6:BI12">BG6</f>
        <v>135.96</v>
      </c>
      <c r="BJ6" s="101">
        <v>462</v>
      </c>
      <c r="BK6" s="96">
        <v>364.87</v>
      </c>
      <c r="BL6" s="660">
        <f aca="true" t="shared" si="30" ref="BL6:BL12">BJ6</f>
        <v>462</v>
      </c>
      <c r="BM6" s="660">
        <f aca="true" t="shared" si="31" ref="BM6:BM12">BK6</f>
        <v>364.87</v>
      </c>
      <c r="BN6" s="95">
        <v>151.42</v>
      </c>
      <c r="BO6" s="96">
        <v>148.75</v>
      </c>
      <c r="BP6" s="660">
        <f aca="true" t="shared" si="32" ref="BP6:BP15">BN6</f>
        <v>151.42</v>
      </c>
      <c r="BQ6" s="660">
        <f aca="true" t="shared" si="33" ref="BQ6:BQ15">BO6</f>
        <v>148.75</v>
      </c>
      <c r="BR6" s="101">
        <v>4.52</v>
      </c>
      <c r="BS6" s="96">
        <v>4.08</v>
      </c>
      <c r="BT6" s="660">
        <f aca="true" t="shared" si="34" ref="BT6:BT11">BR6</f>
        <v>4.52</v>
      </c>
      <c r="BU6" s="660">
        <f aca="true" t="shared" si="35" ref="BU6:BU11">BS6</f>
        <v>4.08</v>
      </c>
      <c r="BV6" s="1068"/>
      <c r="BW6" s="96"/>
      <c r="BX6" s="96"/>
      <c r="BY6" s="98"/>
      <c r="BZ6" s="1421">
        <v>1266</v>
      </c>
      <c r="CA6" s="112">
        <v>865</v>
      </c>
      <c r="CB6" s="668">
        <f aca="true" t="shared" si="36" ref="CB6:CB11">BZ6</f>
        <v>1266</v>
      </c>
      <c r="CC6" s="668">
        <f aca="true" t="shared" si="37" ref="CC6:CC11">CA6</f>
        <v>865</v>
      </c>
      <c r="CD6" s="103">
        <v>0.35</v>
      </c>
      <c r="CE6" s="104">
        <v>0.27</v>
      </c>
      <c r="CF6" s="670">
        <f aca="true" t="shared" si="38" ref="CF6:CF11">CD6</f>
        <v>0.35</v>
      </c>
      <c r="CG6" s="1519">
        <f aca="true" t="shared" si="39" ref="CG6:CG11">CE6</f>
        <v>0.27</v>
      </c>
      <c r="CH6" s="110">
        <v>94.57</v>
      </c>
      <c r="CI6" s="107">
        <v>67.59</v>
      </c>
      <c r="CJ6" s="671">
        <f aca="true" t="shared" si="40" ref="CJ6:CJ11">CH6</f>
        <v>94.57</v>
      </c>
      <c r="CK6" s="671">
        <f aca="true" t="shared" si="41" ref="CK6:CK11">CI6</f>
        <v>67.59</v>
      </c>
      <c r="CL6" s="95">
        <v>336.63</v>
      </c>
      <c r="CM6" s="96">
        <v>146.61</v>
      </c>
      <c r="CN6" s="660">
        <f aca="true" t="shared" si="42" ref="CN6:CN11">CL6</f>
        <v>336.63</v>
      </c>
      <c r="CO6" s="661">
        <f aca="true" t="shared" si="43" ref="CO6:CO11">CM6</f>
        <v>146.61</v>
      </c>
      <c r="CP6" s="674">
        <f aca="true" t="shared" si="44" ref="CP6:CP15">SUM(B6+F6+J6+N6+R6+V6+Z6+AD6+AH6+AL6+AP6+AT6+AX6+BB6+BF6+BJ6+BN6+BR6+BV6+BZ6+CD6+CH6+CL6)</f>
        <v>4642.82</v>
      </c>
      <c r="CQ6" s="672">
        <f aca="true" t="shared" si="45" ref="CQ6:CQ15">SUM(C6+G6+K6+O6+S6+W6+AA6+AE6+AI6+AM6+AQ6+AU6+AY6+BC6+BG6+BK6+BO6+BS6+BW6+CA6+CE6+CI6+CM6)</f>
        <v>3549.9600000000005</v>
      </c>
      <c r="CR6" s="672">
        <f aca="true" t="shared" si="46" ref="CR6:CR15">SUM(D6+H6+L6+P6+T6+X6+AB6+AF6+AJ6+AN6+AR6+AV6+AZ6+BD6+BH6+BL6+BP6+BT6+BX6+CB6+CF6+CJ6+CN6)</f>
        <v>4642.82</v>
      </c>
      <c r="CS6" s="1515">
        <f aca="true" t="shared" si="47" ref="CS6:CS15">SUM(E6+I6+M6+Q6+U6+Y6+AC6+AG6+AK6+AO6+AS6+AW6+BA6+BE6+BI6+BM6+BQ6+BU6+BY6+CC6+CG6+CK6+CO6)</f>
        <v>3549.9600000000005</v>
      </c>
      <c r="CT6" s="110">
        <v>229.11</v>
      </c>
      <c r="CU6" s="107">
        <v>120.68</v>
      </c>
      <c r="CV6" s="671">
        <f aca="true" t="shared" si="48" ref="CV6:CV13">CT6</f>
        <v>229.11</v>
      </c>
      <c r="CW6" s="671">
        <f aca="true" t="shared" si="49" ref="CW6:CW13">CU6</f>
        <v>120.68</v>
      </c>
      <c r="CX6" s="111">
        <f aca="true" t="shared" si="50" ref="CX6:CX18">CP6+CT6</f>
        <v>4871.929999999999</v>
      </c>
      <c r="CY6" s="111">
        <f t="shared" si="0"/>
        <v>3670.6400000000003</v>
      </c>
      <c r="CZ6" s="111">
        <f t="shared" si="0"/>
        <v>4871.929999999999</v>
      </c>
      <c r="DA6" s="341">
        <f t="shared" si="0"/>
        <v>3670.6400000000003</v>
      </c>
    </row>
    <row r="7" spans="1:105" ht="17.25">
      <c r="A7" s="140" t="s">
        <v>5</v>
      </c>
      <c r="B7" s="339"/>
      <c r="C7" s="93">
        <v>0.33</v>
      </c>
      <c r="D7" s="657">
        <f t="shared" si="1"/>
        <v>0</v>
      </c>
      <c r="E7" s="658">
        <f t="shared" si="2"/>
        <v>0.33</v>
      </c>
      <c r="F7" s="95">
        <v>0.61</v>
      </c>
      <c r="G7" s="96">
        <v>0.26</v>
      </c>
      <c r="H7" s="660">
        <f t="shared" si="3"/>
        <v>0.61</v>
      </c>
      <c r="I7" s="660">
        <f t="shared" si="4"/>
        <v>0.26</v>
      </c>
      <c r="J7" s="95">
        <v>3.74</v>
      </c>
      <c r="K7" s="96">
        <v>1.89</v>
      </c>
      <c r="L7" s="660">
        <f t="shared" si="5"/>
        <v>3.74</v>
      </c>
      <c r="M7" s="662">
        <f t="shared" si="6"/>
        <v>1.89</v>
      </c>
      <c r="N7" s="101">
        <v>13</v>
      </c>
      <c r="O7" s="96">
        <v>6</v>
      </c>
      <c r="P7" s="660">
        <f t="shared" si="7"/>
        <v>13</v>
      </c>
      <c r="Q7" s="660">
        <f t="shared" si="8"/>
        <v>6</v>
      </c>
      <c r="R7" s="95">
        <v>8</v>
      </c>
      <c r="S7" s="96">
        <v>11</v>
      </c>
      <c r="T7" s="660">
        <f t="shared" si="9"/>
        <v>8</v>
      </c>
      <c r="U7" s="661">
        <f t="shared" si="10"/>
        <v>11</v>
      </c>
      <c r="V7" s="95">
        <v>0.18</v>
      </c>
      <c r="W7" s="96">
        <v>0.17</v>
      </c>
      <c r="X7" s="96">
        <f t="shared" si="11"/>
        <v>0.18</v>
      </c>
      <c r="Y7" s="96">
        <f t="shared" si="11"/>
        <v>0.17</v>
      </c>
      <c r="Z7" s="95">
        <v>1.04</v>
      </c>
      <c r="AA7" s="96">
        <v>25.46</v>
      </c>
      <c r="AB7" s="660">
        <f t="shared" si="12"/>
        <v>1.04</v>
      </c>
      <c r="AC7" s="660">
        <f t="shared" si="13"/>
        <v>25.46</v>
      </c>
      <c r="AD7" s="2">
        <v>7.78</v>
      </c>
      <c r="AE7" s="99">
        <v>4.64</v>
      </c>
      <c r="AF7" s="55">
        <f t="shared" si="14"/>
        <v>7.78</v>
      </c>
      <c r="AG7" s="55">
        <f t="shared" si="15"/>
        <v>4.64</v>
      </c>
      <c r="AH7" s="2">
        <v>5.63</v>
      </c>
      <c r="AI7" s="3">
        <v>6.51</v>
      </c>
      <c r="AJ7" s="55">
        <f t="shared" si="16"/>
        <v>5.63</v>
      </c>
      <c r="AK7" s="1062">
        <f t="shared" si="17"/>
        <v>6.51</v>
      </c>
      <c r="AL7" s="2">
        <v>5.08</v>
      </c>
      <c r="AM7" s="3">
        <v>4.75</v>
      </c>
      <c r="AN7" s="55">
        <f t="shared" si="18"/>
        <v>5.08</v>
      </c>
      <c r="AO7" s="66">
        <f t="shared" si="19"/>
        <v>4.75</v>
      </c>
      <c r="AP7" s="2">
        <v>78.68</v>
      </c>
      <c r="AQ7" s="3">
        <v>65.24</v>
      </c>
      <c r="AR7" s="55">
        <f t="shared" si="20"/>
        <v>78.68</v>
      </c>
      <c r="AS7" s="1062">
        <f t="shared" si="21"/>
        <v>65.24</v>
      </c>
      <c r="AT7" s="2">
        <v>37.4</v>
      </c>
      <c r="AU7" s="3">
        <v>41.8</v>
      </c>
      <c r="AV7" s="55">
        <f t="shared" si="22"/>
        <v>37.4</v>
      </c>
      <c r="AW7" s="66">
        <f t="shared" si="23"/>
        <v>41.8</v>
      </c>
      <c r="AX7" s="312"/>
      <c r="AY7" s="5"/>
      <c r="AZ7" s="666">
        <f t="shared" si="24"/>
        <v>0</v>
      </c>
      <c r="BA7" s="667">
        <f t="shared" si="25"/>
        <v>0</v>
      </c>
      <c r="BB7" s="26">
        <v>4.09</v>
      </c>
      <c r="BC7" s="96">
        <v>1.12</v>
      </c>
      <c r="BD7" s="660">
        <f t="shared" si="26"/>
        <v>4.09</v>
      </c>
      <c r="BE7" s="660">
        <f t="shared" si="27"/>
        <v>1.12</v>
      </c>
      <c r="BF7" s="95">
        <v>0.4</v>
      </c>
      <c r="BG7" s="96">
        <v>0.28</v>
      </c>
      <c r="BH7" s="660">
        <f t="shared" si="28"/>
        <v>0.4</v>
      </c>
      <c r="BI7" s="662">
        <f t="shared" si="29"/>
        <v>0.28</v>
      </c>
      <c r="BJ7" s="101">
        <v>15</v>
      </c>
      <c r="BK7" s="96">
        <v>15.56</v>
      </c>
      <c r="BL7" s="660">
        <f t="shared" si="30"/>
        <v>15</v>
      </c>
      <c r="BM7" s="660">
        <f t="shared" si="31"/>
        <v>15.56</v>
      </c>
      <c r="BN7" s="95"/>
      <c r="BO7" s="96">
        <v>0.02</v>
      </c>
      <c r="BP7" s="660">
        <f t="shared" si="32"/>
        <v>0</v>
      </c>
      <c r="BQ7" s="660">
        <f t="shared" si="33"/>
        <v>0.02</v>
      </c>
      <c r="BR7" s="101">
        <v>14.28</v>
      </c>
      <c r="BS7" s="96">
        <v>11.05</v>
      </c>
      <c r="BT7" s="660">
        <f t="shared" si="34"/>
        <v>14.28</v>
      </c>
      <c r="BU7" s="660">
        <f t="shared" si="35"/>
        <v>11.05</v>
      </c>
      <c r="BV7" s="1068"/>
      <c r="BW7" s="96"/>
      <c r="BX7" s="96"/>
      <c r="BY7" s="98"/>
      <c r="BZ7" s="1422">
        <v>18</v>
      </c>
      <c r="CA7" s="102">
        <v>7</v>
      </c>
      <c r="CB7" s="668">
        <f t="shared" si="36"/>
        <v>18</v>
      </c>
      <c r="CC7" s="668">
        <f t="shared" si="37"/>
        <v>7</v>
      </c>
      <c r="CD7" s="103">
        <v>35.96</v>
      </c>
      <c r="CE7" s="104">
        <v>43.76</v>
      </c>
      <c r="CF7" s="670">
        <f t="shared" si="38"/>
        <v>35.96</v>
      </c>
      <c r="CG7" s="1519">
        <f t="shared" si="39"/>
        <v>43.76</v>
      </c>
      <c r="CH7" s="110"/>
      <c r="CI7" s="107"/>
      <c r="CJ7" s="671">
        <f t="shared" si="40"/>
        <v>0</v>
      </c>
      <c r="CK7" s="671">
        <f t="shared" si="41"/>
        <v>0</v>
      </c>
      <c r="CL7" s="95">
        <v>7.3</v>
      </c>
      <c r="CM7" s="96">
        <v>2.69</v>
      </c>
      <c r="CN7" s="660">
        <f t="shared" si="42"/>
        <v>7.3</v>
      </c>
      <c r="CO7" s="661">
        <f t="shared" si="43"/>
        <v>2.69</v>
      </c>
      <c r="CP7" s="674">
        <f t="shared" si="44"/>
        <v>256.17</v>
      </c>
      <c r="CQ7" s="672">
        <f t="shared" si="45"/>
        <v>249.53000000000003</v>
      </c>
      <c r="CR7" s="672">
        <f t="shared" si="46"/>
        <v>256.17</v>
      </c>
      <c r="CS7" s="1515">
        <f t="shared" si="47"/>
        <v>249.53000000000003</v>
      </c>
      <c r="CT7" s="110">
        <v>7.17</v>
      </c>
      <c r="CU7" s="107">
        <v>6.3</v>
      </c>
      <c r="CV7" s="671">
        <f t="shared" si="48"/>
        <v>7.17</v>
      </c>
      <c r="CW7" s="671">
        <f t="shared" si="49"/>
        <v>6.3</v>
      </c>
      <c r="CX7" s="111">
        <f t="shared" si="50"/>
        <v>263.34000000000003</v>
      </c>
      <c r="CY7" s="111">
        <f t="shared" si="0"/>
        <v>255.83000000000004</v>
      </c>
      <c r="CZ7" s="111">
        <f t="shared" si="0"/>
        <v>263.34000000000003</v>
      </c>
      <c r="DA7" s="341">
        <f t="shared" si="0"/>
        <v>255.83000000000004</v>
      </c>
    </row>
    <row r="8" spans="1:105" ht="17.25">
      <c r="A8" s="140" t="s">
        <v>6</v>
      </c>
      <c r="B8" s="339">
        <v>10</v>
      </c>
      <c r="C8" s="93">
        <v>7.45</v>
      </c>
      <c r="D8" s="657">
        <f t="shared" si="1"/>
        <v>10</v>
      </c>
      <c r="E8" s="658">
        <f t="shared" si="2"/>
        <v>7.45</v>
      </c>
      <c r="F8" s="95">
        <v>0.35</v>
      </c>
      <c r="G8" s="96">
        <v>-0.08</v>
      </c>
      <c r="H8" s="660">
        <f t="shared" si="3"/>
        <v>0.35</v>
      </c>
      <c r="I8" s="660">
        <f t="shared" si="4"/>
        <v>-0.08</v>
      </c>
      <c r="J8" s="95">
        <v>0.91</v>
      </c>
      <c r="K8" s="96">
        <v>2.63</v>
      </c>
      <c r="L8" s="660">
        <f t="shared" si="5"/>
        <v>0.91</v>
      </c>
      <c r="M8" s="662">
        <f t="shared" si="6"/>
        <v>2.63</v>
      </c>
      <c r="N8" s="101">
        <v>14</v>
      </c>
      <c r="O8" s="96">
        <v>11</v>
      </c>
      <c r="P8" s="660">
        <f t="shared" si="7"/>
        <v>14</v>
      </c>
      <c r="Q8" s="660">
        <f t="shared" si="8"/>
        <v>11</v>
      </c>
      <c r="R8" s="95">
        <v>68</v>
      </c>
      <c r="S8" s="96">
        <v>52</v>
      </c>
      <c r="T8" s="660">
        <f t="shared" si="9"/>
        <v>68</v>
      </c>
      <c r="U8" s="661">
        <f t="shared" si="10"/>
        <v>52</v>
      </c>
      <c r="V8" s="95"/>
      <c r="W8" s="96"/>
      <c r="X8" s="96">
        <f t="shared" si="11"/>
        <v>0</v>
      </c>
      <c r="Y8" s="96">
        <f t="shared" si="11"/>
        <v>0</v>
      </c>
      <c r="Z8" s="95">
        <v>-0.08</v>
      </c>
      <c r="AA8" s="96">
        <v>-0.18</v>
      </c>
      <c r="AB8" s="660">
        <f t="shared" si="12"/>
        <v>-0.08</v>
      </c>
      <c r="AC8" s="660">
        <f t="shared" si="13"/>
        <v>-0.18</v>
      </c>
      <c r="AD8" s="2">
        <v>1.78</v>
      </c>
      <c r="AE8" s="99">
        <v>1.71</v>
      </c>
      <c r="AF8" s="55">
        <f t="shared" si="14"/>
        <v>1.78</v>
      </c>
      <c r="AG8" s="55">
        <f t="shared" si="15"/>
        <v>1.71</v>
      </c>
      <c r="AH8" s="2">
        <v>45.38</v>
      </c>
      <c r="AI8" s="3">
        <v>29.31</v>
      </c>
      <c r="AJ8" s="55">
        <f t="shared" si="16"/>
        <v>45.38</v>
      </c>
      <c r="AK8" s="1062">
        <f t="shared" si="17"/>
        <v>29.31</v>
      </c>
      <c r="AL8" s="2">
        <v>3.12</v>
      </c>
      <c r="AM8" s="3">
        <v>0.65</v>
      </c>
      <c r="AN8" s="55">
        <f t="shared" si="18"/>
        <v>3.12</v>
      </c>
      <c r="AO8" s="66">
        <f t="shared" si="19"/>
        <v>0.65</v>
      </c>
      <c r="AP8" s="2">
        <v>101.62</v>
      </c>
      <c r="AQ8" s="3">
        <v>56.38</v>
      </c>
      <c r="AR8" s="55">
        <f t="shared" si="20"/>
        <v>101.62</v>
      </c>
      <c r="AS8" s="1062">
        <f t="shared" si="21"/>
        <v>56.38</v>
      </c>
      <c r="AT8" s="2">
        <v>43.8</v>
      </c>
      <c r="AU8" s="3">
        <v>46.4</v>
      </c>
      <c r="AV8" s="55">
        <f t="shared" si="22"/>
        <v>43.8</v>
      </c>
      <c r="AW8" s="66">
        <f t="shared" si="23"/>
        <v>46.4</v>
      </c>
      <c r="AX8" s="312">
        <v>0.01</v>
      </c>
      <c r="AY8" s="5">
        <v>15.09</v>
      </c>
      <c r="AZ8" s="666">
        <f t="shared" si="24"/>
        <v>0.01</v>
      </c>
      <c r="BA8" s="667">
        <f t="shared" si="25"/>
        <v>15.09</v>
      </c>
      <c r="BB8" s="26">
        <v>2.51</v>
      </c>
      <c r="BC8" s="96">
        <v>4.77</v>
      </c>
      <c r="BD8" s="660">
        <f t="shared" si="26"/>
        <v>2.51</v>
      </c>
      <c r="BE8" s="660">
        <f t="shared" si="27"/>
        <v>4.77</v>
      </c>
      <c r="BF8" s="95">
        <v>12.96</v>
      </c>
      <c r="BG8" s="96">
        <v>5.81</v>
      </c>
      <c r="BH8" s="660">
        <f t="shared" si="28"/>
        <v>12.96</v>
      </c>
      <c r="BI8" s="662">
        <f t="shared" si="29"/>
        <v>5.81</v>
      </c>
      <c r="BJ8" s="101">
        <v>1</v>
      </c>
      <c r="BK8" s="96">
        <v>1.81</v>
      </c>
      <c r="BL8" s="660">
        <f t="shared" si="30"/>
        <v>1</v>
      </c>
      <c r="BM8" s="660">
        <f t="shared" si="31"/>
        <v>1.81</v>
      </c>
      <c r="BN8" s="95">
        <v>2.92</v>
      </c>
      <c r="BO8" s="96">
        <v>1.36</v>
      </c>
      <c r="BP8" s="660">
        <f t="shared" si="32"/>
        <v>2.92</v>
      </c>
      <c r="BQ8" s="660">
        <f t="shared" si="33"/>
        <v>1.36</v>
      </c>
      <c r="BR8" s="101">
        <v>13.59</v>
      </c>
      <c r="BS8" s="96">
        <v>10.32</v>
      </c>
      <c r="BT8" s="660">
        <f t="shared" si="34"/>
        <v>13.59</v>
      </c>
      <c r="BU8" s="660">
        <f t="shared" si="35"/>
        <v>10.32</v>
      </c>
      <c r="BV8" s="1068"/>
      <c r="BW8" s="96"/>
      <c r="BX8" s="96"/>
      <c r="BY8" s="98"/>
      <c r="BZ8" s="1422"/>
      <c r="CA8" s="102"/>
      <c r="CB8" s="668">
        <f t="shared" si="36"/>
        <v>0</v>
      </c>
      <c r="CC8" s="668">
        <f t="shared" si="37"/>
        <v>0</v>
      </c>
      <c r="CD8" s="103">
        <v>3.79</v>
      </c>
      <c r="CE8" s="104">
        <v>3.5</v>
      </c>
      <c r="CF8" s="670">
        <f t="shared" si="38"/>
        <v>3.79</v>
      </c>
      <c r="CG8" s="1519">
        <f t="shared" si="39"/>
        <v>3.5</v>
      </c>
      <c r="CH8" s="110">
        <v>-0.004</v>
      </c>
      <c r="CI8" s="107">
        <v>-0.004</v>
      </c>
      <c r="CJ8" s="671">
        <f t="shared" si="40"/>
        <v>-0.004</v>
      </c>
      <c r="CK8" s="671">
        <f t="shared" si="41"/>
        <v>-0.004</v>
      </c>
      <c r="CL8" s="95">
        <v>36.62</v>
      </c>
      <c r="CM8" s="96">
        <v>25.05</v>
      </c>
      <c r="CN8" s="660">
        <f t="shared" si="42"/>
        <v>36.62</v>
      </c>
      <c r="CO8" s="661">
        <f t="shared" si="43"/>
        <v>25.05</v>
      </c>
      <c r="CP8" s="674">
        <f t="shared" si="44"/>
        <v>362.27599999999995</v>
      </c>
      <c r="CQ8" s="672">
        <f t="shared" si="45"/>
        <v>274.97600000000006</v>
      </c>
      <c r="CR8" s="672">
        <f t="shared" si="46"/>
        <v>362.27599999999995</v>
      </c>
      <c r="CS8" s="1515">
        <f t="shared" si="47"/>
        <v>274.97600000000006</v>
      </c>
      <c r="CT8" s="110">
        <v>4.34</v>
      </c>
      <c r="CU8" s="107">
        <v>2.66</v>
      </c>
      <c r="CV8" s="671">
        <f t="shared" si="48"/>
        <v>4.34</v>
      </c>
      <c r="CW8" s="671">
        <f t="shared" si="49"/>
        <v>2.66</v>
      </c>
      <c r="CX8" s="111">
        <f t="shared" si="50"/>
        <v>366.61599999999993</v>
      </c>
      <c r="CY8" s="111">
        <f t="shared" si="0"/>
        <v>277.6360000000001</v>
      </c>
      <c r="CZ8" s="111">
        <f t="shared" si="0"/>
        <v>366.61599999999993</v>
      </c>
      <c r="DA8" s="341">
        <f t="shared" si="0"/>
        <v>277.6360000000001</v>
      </c>
    </row>
    <row r="9" spans="1:105" ht="17.25">
      <c r="A9" s="140" t="s">
        <v>7</v>
      </c>
      <c r="B9" s="124"/>
      <c r="C9" s="53">
        <v>0.02</v>
      </c>
      <c r="D9" s="657">
        <f t="shared" si="1"/>
        <v>0</v>
      </c>
      <c r="E9" s="658">
        <f t="shared" si="2"/>
        <v>0.02</v>
      </c>
      <c r="F9" s="111"/>
      <c r="G9" s="114"/>
      <c r="H9" s="660">
        <f t="shared" si="3"/>
        <v>0</v>
      </c>
      <c r="I9" s="660">
        <f t="shared" si="4"/>
        <v>0</v>
      </c>
      <c r="J9" s="111"/>
      <c r="K9" s="114"/>
      <c r="L9" s="660">
        <f t="shared" si="5"/>
        <v>0</v>
      </c>
      <c r="M9" s="662">
        <f t="shared" si="6"/>
        <v>0</v>
      </c>
      <c r="N9" s="109"/>
      <c r="O9" s="114"/>
      <c r="P9" s="660">
        <f t="shared" si="7"/>
        <v>0</v>
      </c>
      <c r="Q9" s="660">
        <f t="shared" si="8"/>
        <v>0</v>
      </c>
      <c r="R9" s="111"/>
      <c r="S9" s="114"/>
      <c r="T9" s="660">
        <f t="shared" si="9"/>
        <v>0</v>
      </c>
      <c r="U9" s="661">
        <f t="shared" si="10"/>
        <v>0</v>
      </c>
      <c r="V9" s="111"/>
      <c r="W9" s="114"/>
      <c r="X9" s="96">
        <f t="shared" si="11"/>
        <v>0</v>
      </c>
      <c r="Y9" s="96">
        <f t="shared" si="11"/>
        <v>0</v>
      </c>
      <c r="Z9" s="111"/>
      <c r="AA9" s="114"/>
      <c r="AB9" s="660">
        <f t="shared" si="12"/>
        <v>0</v>
      </c>
      <c r="AC9" s="660">
        <f t="shared" si="13"/>
        <v>0</v>
      </c>
      <c r="AD9" s="7"/>
      <c r="AE9" s="99"/>
      <c r="AF9" s="55">
        <f t="shared" si="14"/>
        <v>0</v>
      </c>
      <c r="AG9" s="55">
        <f t="shared" si="15"/>
        <v>0</v>
      </c>
      <c r="AH9" s="7"/>
      <c r="AI9" s="8"/>
      <c r="AJ9" s="55">
        <f t="shared" si="16"/>
        <v>0</v>
      </c>
      <c r="AK9" s="1062">
        <f t="shared" si="17"/>
        <v>0</v>
      </c>
      <c r="AL9" s="7"/>
      <c r="AM9" s="8"/>
      <c r="AN9" s="55">
        <f t="shared" si="18"/>
        <v>0</v>
      </c>
      <c r="AO9" s="66">
        <f t="shared" si="19"/>
        <v>0</v>
      </c>
      <c r="AP9" s="7"/>
      <c r="AQ9" s="8"/>
      <c r="AR9" s="55">
        <f t="shared" si="20"/>
        <v>0</v>
      </c>
      <c r="AS9" s="1062">
        <f t="shared" si="21"/>
        <v>0</v>
      </c>
      <c r="AT9" s="7"/>
      <c r="AU9" s="8"/>
      <c r="AV9" s="55">
        <f t="shared" si="22"/>
        <v>0</v>
      </c>
      <c r="AW9" s="66">
        <f t="shared" si="23"/>
        <v>0</v>
      </c>
      <c r="AX9" s="312"/>
      <c r="AY9" s="5"/>
      <c r="AZ9" s="666">
        <f t="shared" si="24"/>
        <v>0</v>
      </c>
      <c r="BA9" s="667">
        <f t="shared" si="25"/>
        <v>0</v>
      </c>
      <c r="BB9" s="45"/>
      <c r="BC9" s="114"/>
      <c r="BD9" s="660">
        <f t="shared" si="26"/>
        <v>0</v>
      </c>
      <c r="BE9" s="660">
        <f t="shared" si="27"/>
        <v>0</v>
      </c>
      <c r="BF9" s="1066">
        <v>0.03</v>
      </c>
      <c r="BG9" s="115">
        <v>0.01</v>
      </c>
      <c r="BH9" s="660">
        <f t="shared" si="28"/>
        <v>0.03</v>
      </c>
      <c r="BI9" s="662">
        <f t="shared" si="29"/>
        <v>0.01</v>
      </c>
      <c r="BJ9" s="109"/>
      <c r="BK9" s="114"/>
      <c r="BL9" s="660">
        <f t="shared" si="30"/>
        <v>0</v>
      </c>
      <c r="BM9" s="660">
        <f t="shared" si="31"/>
        <v>0</v>
      </c>
      <c r="BN9" s="111"/>
      <c r="BO9" s="114"/>
      <c r="BP9" s="660">
        <f t="shared" si="32"/>
        <v>0</v>
      </c>
      <c r="BQ9" s="660">
        <f t="shared" si="33"/>
        <v>0</v>
      </c>
      <c r="BR9" s="109"/>
      <c r="BS9" s="114"/>
      <c r="BT9" s="660">
        <f t="shared" si="34"/>
        <v>0</v>
      </c>
      <c r="BU9" s="660">
        <f t="shared" si="35"/>
        <v>0</v>
      </c>
      <c r="BV9" s="1068"/>
      <c r="BW9" s="96"/>
      <c r="BX9" s="96"/>
      <c r="BY9" s="98"/>
      <c r="BZ9" s="1423"/>
      <c r="CA9" s="13"/>
      <c r="CB9" s="668">
        <f t="shared" si="36"/>
        <v>0</v>
      </c>
      <c r="CC9" s="668">
        <f t="shared" si="37"/>
        <v>0</v>
      </c>
      <c r="CD9" s="103"/>
      <c r="CE9" s="104"/>
      <c r="CF9" s="670">
        <f t="shared" si="38"/>
        <v>0</v>
      </c>
      <c r="CG9" s="1519">
        <f t="shared" si="39"/>
        <v>0</v>
      </c>
      <c r="CH9" s="110"/>
      <c r="CI9" s="107"/>
      <c r="CJ9" s="671">
        <f t="shared" si="40"/>
        <v>0</v>
      </c>
      <c r="CK9" s="671">
        <f t="shared" si="41"/>
        <v>0</v>
      </c>
      <c r="CL9" s="111">
        <v>0.12</v>
      </c>
      <c r="CM9" s="114">
        <v>0.19</v>
      </c>
      <c r="CN9" s="660">
        <f t="shared" si="42"/>
        <v>0.12</v>
      </c>
      <c r="CO9" s="661">
        <f t="shared" si="43"/>
        <v>0.19</v>
      </c>
      <c r="CP9" s="674">
        <f t="shared" si="44"/>
        <v>0.15</v>
      </c>
      <c r="CQ9" s="672">
        <f t="shared" si="45"/>
        <v>0.22</v>
      </c>
      <c r="CR9" s="672">
        <f t="shared" si="46"/>
        <v>0.15</v>
      </c>
      <c r="CS9" s="1515">
        <f t="shared" si="47"/>
        <v>0.22</v>
      </c>
      <c r="CT9" s="111">
        <v>4.17</v>
      </c>
      <c r="CU9" s="114">
        <v>3.55</v>
      </c>
      <c r="CV9" s="671">
        <f t="shared" si="48"/>
        <v>4.17</v>
      </c>
      <c r="CW9" s="671">
        <f t="shared" si="49"/>
        <v>3.55</v>
      </c>
      <c r="CX9" s="111">
        <f t="shared" si="50"/>
        <v>4.32</v>
      </c>
      <c r="CY9" s="111">
        <f t="shared" si="0"/>
        <v>3.77</v>
      </c>
      <c r="CZ9" s="111">
        <f t="shared" si="0"/>
        <v>4.32</v>
      </c>
      <c r="DA9" s="341">
        <f t="shared" si="0"/>
        <v>3.77</v>
      </c>
    </row>
    <row r="10" spans="1:105" ht="17.25">
      <c r="A10" s="140" t="s">
        <v>15</v>
      </c>
      <c r="B10" s="339"/>
      <c r="C10" s="93"/>
      <c r="D10" s="657">
        <f t="shared" si="1"/>
        <v>0</v>
      </c>
      <c r="E10" s="658">
        <f t="shared" si="2"/>
        <v>0</v>
      </c>
      <c r="F10" s="95"/>
      <c r="G10" s="96"/>
      <c r="H10" s="660">
        <f t="shared" si="3"/>
        <v>0</v>
      </c>
      <c r="I10" s="660">
        <f t="shared" si="4"/>
        <v>0</v>
      </c>
      <c r="J10" s="95"/>
      <c r="K10" s="96"/>
      <c r="L10" s="660">
        <f t="shared" si="5"/>
        <v>0</v>
      </c>
      <c r="M10" s="662">
        <f t="shared" si="6"/>
        <v>0</v>
      </c>
      <c r="N10" s="101"/>
      <c r="O10" s="96"/>
      <c r="P10" s="660">
        <f t="shared" si="7"/>
        <v>0</v>
      </c>
      <c r="Q10" s="660">
        <f t="shared" si="8"/>
        <v>0</v>
      </c>
      <c r="R10" s="95"/>
      <c r="S10" s="96"/>
      <c r="T10" s="660">
        <f t="shared" si="9"/>
        <v>0</v>
      </c>
      <c r="U10" s="661">
        <f t="shared" si="10"/>
        <v>0</v>
      </c>
      <c r="V10" s="95"/>
      <c r="W10" s="96"/>
      <c r="X10" s="96">
        <f t="shared" si="11"/>
        <v>0</v>
      </c>
      <c r="Y10" s="96">
        <f t="shared" si="11"/>
        <v>0</v>
      </c>
      <c r="Z10" s="95"/>
      <c r="AA10" s="96"/>
      <c r="AB10" s="660">
        <f t="shared" si="12"/>
        <v>0</v>
      </c>
      <c r="AC10" s="660">
        <f t="shared" si="13"/>
        <v>0</v>
      </c>
      <c r="AD10" s="2"/>
      <c r="AE10" s="99"/>
      <c r="AF10" s="55">
        <f t="shared" si="14"/>
        <v>0</v>
      </c>
      <c r="AG10" s="55">
        <f t="shared" si="15"/>
        <v>0</v>
      </c>
      <c r="AH10" s="2"/>
      <c r="AI10" s="3"/>
      <c r="AJ10" s="55">
        <f t="shared" si="16"/>
        <v>0</v>
      </c>
      <c r="AK10" s="1062">
        <f t="shared" si="17"/>
        <v>0</v>
      </c>
      <c r="AL10" s="2"/>
      <c r="AM10" s="3"/>
      <c r="AN10" s="55">
        <f t="shared" si="18"/>
        <v>0</v>
      </c>
      <c r="AO10" s="66">
        <f t="shared" si="19"/>
        <v>0</v>
      </c>
      <c r="AP10" s="2"/>
      <c r="AQ10" s="3"/>
      <c r="AR10" s="55">
        <f t="shared" si="20"/>
        <v>0</v>
      </c>
      <c r="AS10" s="1062">
        <f t="shared" si="21"/>
        <v>0</v>
      </c>
      <c r="AT10" s="2"/>
      <c r="AU10" s="3"/>
      <c r="AV10" s="55">
        <f t="shared" si="22"/>
        <v>0</v>
      </c>
      <c r="AW10" s="66">
        <f t="shared" si="23"/>
        <v>0</v>
      </c>
      <c r="AX10" s="2"/>
      <c r="AY10" s="3"/>
      <c r="AZ10" s="666">
        <f t="shared" si="24"/>
        <v>0</v>
      </c>
      <c r="BA10" s="667">
        <f t="shared" si="25"/>
        <v>0</v>
      </c>
      <c r="BB10" s="26">
        <v>0.48</v>
      </c>
      <c r="BC10" s="96">
        <v>0.66</v>
      </c>
      <c r="BD10" s="660">
        <f t="shared" si="26"/>
        <v>0.48</v>
      </c>
      <c r="BE10" s="660">
        <f t="shared" si="27"/>
        <v>0.66</v>
      </c>
      <c r="BF10" s="95"/>
      <c r="BG10" s="96"/>
      <c r="BH10" s="660">
        <f t="shared" si="28"/>
        <v>0</v>
      </c>
      <c r="BI10" s="662">
        <f t="shared" si="29"/>
        <v>0</v>
      </c>
      <c r="BJ10" s="101"/>
      <c r="BK10" s="96"/>
      <c r="BL10" s="660">
        <f t="shared" si="30"/>
        <v>0</v>
      </c>
      <c r="BM10" s="660">
        <f t="shared" si="31"/>
        <v>0</v>
      </c>
      <c r="BN10" s="95"/>
      <c r="BO10" s="96"/>
      <c r="BP10" s="660">
        <f t="shared" si="32"/>
        <v>0</v>
      </c>
      <c r="BQ10" s="660">
        <f t="shared" si="33"/>
        <v>0</v>
      </c>
      <c r="BR10" s="101"/>
      <c r="BS10" s="96"/>
      <c r="BT10" s="660">
        <f t="shared" si="34"/>
        <v>0</v>
      </c>
      <c r="BU10" s="660">
        <f t="shared" si="35"/>
        <v>0</v>
      </c>
      <c r="BV10" s="1068"/>
      <c r="BW10" s="96"/>
      <c r="BX10" s="96"/>
      <c r="BY10" s="98"/>
      <c r="BZ10" s="1423"/>
      <c r="CA10" s="102"/>
      <c r="CB10" s="668">
        <f t="shared" si="36"/>
        <v>0</v>
      </c>
      <c r="CC10" s="668">
        <f t="shared" si="37"/>
        <v>0</v>
      </c>
      <c r="CD10" s="103"/>
      <c r="CE10" s="104"/>
      <c r="CF10" s="670">
        <f t="shared" si="38"/>
        <v>0</v>
      </c>
      <c r="CG10" s="1519">
        <f t="shared" si="39"/>
        <v>0</v>
      </c>
      <c r="CH10" s="110"/>
      <c r="CI10" s="107"/>
      <c r="CJ10" s="671">
        <f t="shared" si="40"/>
        <v>0</v>
      </c>
      <c r="CK10" s="671">
        <f t="shared" si="41"/>
        <v>0</v>
      </c>
      <c r="CL10" s="95"/>
      <c r="CM10" s="96"/>
      <c r="CN10" s="660">
        <f t="shared" si="42"/>
        <v>0</v>
      </c>
      <c r="CO10" s="661">
        <f t="shared" si="43"/>
        <v>0</v>
      </c>
      <c r="CP10" s="674">
        <f t="shared" si="44"/>
        <v>0.48</v>
      </c>
      <c r="CQ10" s="672">
        <f t="shared" si="45"/>
        <v>0.66</v>
      </c>
      <c r="CR10" s="672">
        <f t="shared" si="46"/>
        <v>0.48</v>
      </c>
      <c r="CS10" s="1515">
        <f t="shared" si="47"/>
        <v>0.66</v>
      </c>
      <c r="CT10" s="110"/>
      <c r="CU10" s="107"/>
      <c r="CV10" s="671">
        <f t="shared" si="48"/>
        <v>0</v>
      </c>
      <c r="CW10" s="671">
        <f t="shared" si="49"/>
        <v>0</v>
      </c>
      <c r="CX10" s="111">
        <f t="shared" si="50"/>
        <v>0.48</v>
      </c>
      <c r="CY10" s="111">
        <f t="shared" si="0"/>
        <v>0.66</v>
      </c>
      <c r="CZ10" s="111">
        <f t="shared" si="0"/>
        <v>0.48</v>
      </c>
      <c r="DA10" s="341">
        <f t="shared" si="0"/>
        <v>0.66</v>
      </c>
    </row>
    <row r="11" spans="1:105" ht="17.25">
      <c r="A11" s="140" t="s">
        <v>8</v>
      </c>
      <c r="B11" s="339">
        <v>10</v>
      </c>
      <c r="C11" s="93">
        <v>15.03</v>
      </c>
      <c r="D11" s="657">
        <f t="shared" si="1"/>
        <v>10</v>
      </c>
      <c r="E11" s="658">
        <f t="shared" si="2"/>
        <v>15.03</v>
      </c>
      <c r="F11" s="95">
        <v>17.42</v>
      </c>
      <c r="G11" s="96">
        <v>16.92</v>
      </c>
      <c r="H11" s="660">
        <f t="shared" si="3"/>
        <v>17.42</v>
      </c>
      <c r="I11" s="660">
        <f t="shared" si="4"/>
        <v>16.92</v>
      </c>
      <c r="J11" s="95">
        <v>7.98</v>
      </c>
      <c r="K11" s="96">
        <v>10.13</v>
      </c>
      <c r="L11" s="660">
        <f t="shared" si="5"/>
        <v>7.98</v>
      </c>
      <c r="M11" s="662">
        <f t="shared" si="6"/>
        <v>10.13</v>
      </c>
      <c r="N11" s="101">
        <v>34</v>
      </c>
      <c r="O11" s="96">
        <v>25</v>
      </c>
      <c r="P11" s="660">
        <f t="shared" si="7"/>
        <v>34</v>
      </c>
      <c r="Q11" s="660">
        <f t="shared" si="8"/>
        <v>25</v>
      </c>
      <c r="R11" s="95">
        <v>14</v>
      </c>
      <c r="S11" s="96">
        <v>14</v>
      </c>
      <c r="T11" s="660">
        <f t="shared" si="9"/>
        <v>14</v>
      </c>
      <c r="U11" s="661">
        <f t="shared" si="10"/>
        <v>14</v>
      </c>
      <c r="V11" s="95">
        <v>2.86</v>
      </c>
      <c r="W11" s="96">
        <v>1.32</v>
      </c>
      <c r="X11" s="96">
        <f t="shared" si="11"/>
        <v>2.86</v>
      </c>
      <c r="Y11" s="96">
        <f t="shared" si="11"/>
        <v>1.32</v>
      </c>
      <c r="Z11" s="95">
        <v>25.92</v>
      </c>
      <c r="AA11" s="96">
        <v>36.24</v>
      </c>
      <c r="AB11" s="660">
        <f t="shared" si="12"/>
        <v>25.92</v>
      </c>
      <c r="AC11" s="660">
        <f t="shared" si="13"/>
        <v>36.24</v>
      </c>
      <c r="AD11" s="2">
        <v>8.91</v>
      </c>
      <c r="AE11" s="99">
        <v>12.35</v>
      </c>
      <c r="AF11" s="55">
        <f t="shared" si="14"/>
        <v>8.91</v>
      </c>
      <c r="AG11" s="55">
        <f t="shared" si="15"/>
        <v>12.35</v>
      </c>
      <c r="AH11" s="2">
        <v>6.87</v>
      </c>
      <c r="AI11" s="3">
        <v>6.89</v>
      </c>
      <c r="AJ11" s="55">
        <f t="shared" si="16"/>
        <v>6.87</v>
      </c>
      <c r="AK11" s="1062">
        <f t="shared" si="17"/>
        <v>6.89</v>
      </c>
      <c r="AL11" s="2">
        <v>32.25</v>
      </c>
      <c r="AM11" s="3">
        <v>16.65</v>
      </c>
      <c r="AN11" s="55">
        <f t="shared" si="18"/>
        <v>32.25</v>
      </c>
      <c r="AO11" s="66">
        <f t="shared" si="19"/>
        <v>16.65</v>
      </c>
      <c r="AP11" s="2">
        <v>648.51</v>
      </c>
      <c r="AQ11" s="3">
        <v>361.57</v>
      </c>
      <c r="AR11" s="55">
        <f t="shared" si="20"/>
        <v>648.51</v>
      </c>
      <c r="AS11" s="1062">
        <f t="shared" si="21"/>
        <v>361.57</v>
      </c>
      <c r="AT11" s="2">
        <v>290.5</v>
      </c>
      <c r="AU11" s="3">
        <v>238.6</v>
      </c>
      <c r="AV11" s="55">
        <f t="shared" si="22"/>
        <v>290.5</v>
      </c>
      <c r="AW11" s="66">
        <f t="shared" si="23"/>
        <v>238.6</v>
      </c>
      <c r="AX11" s="2">
        <v>0.34</v>
      </c>
      <c r="AY11" s="3">
        <v>0.42</v>
      </c>
      <c r="AZ11" s="666">
        <f t="shared" si="24"/>
        <v>0.34</v>
      </c>
      <c r="BA11" s="667">
        <f t="shared" si="25"/>
        <v>0.42</v>
      </c>
      <c r="BB11" s="26">
        <v>2.93</v>
      </c>
      <c r="BC11" s="96">
        <v>2.13</v>
      </c>
      <c r="BD11" s="660">
        <f t="shared" si="26"/>
        <v>2.93</v>
      </c>
      <c r="BE11" s="660">
        <f t="shared" si="27"/>
        <v>2.13</v>
      </c>
      <c r="BF11" s="95">
        <v>31.09</v>
      </c>
      <c r="BG11" s="96">
        <v>26.55</v>
      </c>
      <c r="BH11" s="660">
        <f t="shared" si="28"/>
        <v>31.09</v>
      </c>
      <c r="BI11" s="662">
        <f t="shared" si="29"/>
        <v>26.55</v>
      </c>
      <c r="BJ11" s="101">
        <v>134</v>
      </c>
      <c r="BK11" s="96">
        <v>86.75</v>
      </c>
      <c r="BL11" s="660">
        <f t="shared" si="30"/>
        <v>134</v>
      </c>
      <c r="BM11" s="660">
        <f t="shared" si="31"/>
        <v>86.75</v>
      </c>
      <c r="BN11" s="95">
        <v>76.45</v>
      </c>
      <c r="BO11" s="96">
        <v>68.68</v>
      </c>
      <c r="BP11" s="660">
        <f t="shared" si="32"/>
        <v>76.45</v>
      </c>
      <c r="BQ11" s="660">
        <f t="shared" si="33"/>
        <v>68.68</v>
      </c>
      <c r="BR11" s="101">
        <v>63.71</v>
      </c>
      <c r="BS11" s="96">
        <v>46.87</v>
      </c>
      <c r="BT11" s="660">
        <f t="shared" si="34"/>
        <v>63.71</v>
      </c>
      <c r="BU11" s="660">
        <f t="shared" si="35"/>
        <v>46.87</v>
      </c>
      <c r="BV11" s="1068"/>
      <c r="BW11" s="96"/>
      <c r="BX11" s="96"/>
      <c r="BY11" s="98"/>
      <c r="BZ11" s="1422">
        <v>30</v>
      </c>
      <c r="CA11" s="102">
        <v>13</v>
      </c>
      <c r="CB11" s="668">
        <f t="shared" si="36"/>
        <v>30</v>
      </c>
      <c r="CC11" s="668">
        <f t="shared" si="37"/>
        <v>13</v>
      </c>
      <c r="CD11" s="103">
        <v>41.1</v>
      </c>
      <c r="CE11" s="104">
        <v>29.52</v>
      </c>
      <c r="CF11" s="670">
        <f t="shared" si="38"/>
        <v>41.1</v>
      </c>
      <c r="CG11" s="1519">
        <f t="shared" si="39"/>
        <v>29.52</v>
      </c>
      <c r="CH11" s="110">
        <v>0.74</v>
      </c>
      <c r="CI11" s="107">
        <v>2.26</v>
      </c>
      <c r="CJ11" s="671">
        <f t="shared" si="40"/>
        <v>0.74</v>
      </c>
      <c r="CK11" s="671">
        <f t="shared" si="41"/>
        <v>2.26</v>
      </c>
      <c r="CL11" s="95">
        <v>24.19</v>
      </c>
      <c r="CM11" s="96">
        <v>11.74</v>
      </c>
      <c r="CN11" s="660">
        <f t="shared" si="42"/>
        <v>24.19</v>
      </c>
      <c r="CO11" s="661">
        <f t="shared" si="43"/>
        <v>11.74</v>
      </c>
      <c r="CP11" s="674">
        <f t="shared" si="44"/>
        <v>1503.77</v>
      </c>
      <c r="CQ11" s="672">
        <f t="shared" si="45"/>
        <v>1042.6200000000001</v>
      </c>
      <c r="CR11" s="672">
        <f t="shared" si="46"/>
        <v>1503.77</v>
      </c>
      <c r="CS11" s="1515">
        <f t="shared" si="47"/>
        <v>1042.6200000000001</v>
      </c>
      <c r="CT11" s="110">
        <v>173.59</v>
      </c>
      <c r="CU11" s="107">
        <v>110.93</v>
      </c>
      <c r="CV11" s="671">
        <f t="shared" si="48"/>
        <v>173.59</v>
      </c>
      <c r="CW11" s="671">
        <f t="shared" si="49"/>
        <v>110.93</v>
      </c>
      <c r="CX11" s="111">
        <f t="shared" si="50"/>
        <v>1677.36</v>
      </c>
      <c r="CY11" s="111">
        <f t="shared" si="0"/>
        <v>1153.5500000000002</v>
      </c>
      <c r="CZ11" s="111">
        <f t="shared" si="0"/>
        <v>1677.36</v>
      </c>
      <c r="DA11" s="341">
        <f t="shared" si="0"/>
        <v>1153.5500000000002</v>
      </c>
    </row>
    <row r="12" spans="1:105" ht="17.25">
      <c r="A12" s="140" t="s">
        <v>16</v>
      </c>
      <c r="B12" s="339"/>
      <c r="C12" s="93"/>
      <c r="D12" s="657">
        <f t="shared" si="1"/>
        <v>0</v>
      </c>
      <c r="E12" s="658">
        <f t="shared" si="2"/>
        <v>0</v>
      </c>
      <c r="F12" s="95"/>
      <c r="G12" s="96"/>
      <c r="H12" s="660">
        <f t="shared" si="3"/>
        <v>0</v>
      </c>
      <c r="I12" s="660">
        <f t="shared" si="4"/>
        <v>0</v>
      </c>
      <c r="J12" s="95"/>
      <c r="K12" s="96"/>
      <c r="L12" s="96"/>
      <c r="M12" s="98"/>
      <c r="N12" s="101"/>
      <c r="O12" s="96"/>
      <c r="P12" s="660">
        <f t="shared" si="7"/>
        <v>0</v>
      </c>
      <c r="Q12" s="660">
        <f t="shared" si="8"/>
        <v>0</v>
      </c>
      <c r="R12" s="95"/>
      <c r="S12" s="96"/>
      <c r="T12" s="96"/>
      <c r="U12" s="97"/>
      <c r="V12" s="95"/>
      <c r="W12" s="96"/>
      <c r="X12" s="96">
        <f>V12</f>
        <v>0</v>
      </c>
      <c r="Y12" s="97"/>
      <c r="Z12" s="655"/>
      <c r="AA12" s="96"/>
      <c r="AB12" s="96"/>
      <c r="AC12" s="98"/>
      <c r="AD12" s="2"/>
      <c r="AE12" s="99"/>
      <c r="AF12" s="99"/>
      <c r="AG12" s="100"/>
      <c r="AH12" s="2">
        <v>0.05</v>
      </c>
      <c r="AI12" s="3"/>
      <c r="AJ12" s="55">
        <f t="shared" si="16"/>
        <v>0.05</v>
      </c>
      <c r="AK12" s="1062">
        <f t="shared" si="17"/>
        <v>0</v>
      </c>
      <c r="AL12" s="2"/>
      <c r="AM12" s="3"/>
      <c r="AN12" s="3"/>
      <c r="AO12" s="4"/>
      <c r="AP12" s="2"/>
      <c r="AQ12" s="3"/>
      <c r="AR12" s="55">
        <f t="shared" si="20"/>
        <v>0</v>
      </c>
      <c r="AS12" s="1062">
        <f t="shared" si="21"/>
        <v>0</v>
      </c>
      <c r="AT12" s="2"/>
      <c r="AU12" s="3"/>
      <c r="AV12" s="55">
        <f t="shared" si="22"/>
        <v>0</v>
      </c>
      <c r="AW12" s="66">
        <f t="shared" si="23"/>
        <v>0</v>
      </c>
      <c r="AX12" s="2"/>
      <c r="AY12" s="3"/>
      <c r="AZ12" s="3"/>
      <c r="BA12" s="4"/>
      <c r="BB12" s="26"/>
      <c r="BC12" s="96"/>
      <c r="BD12" s="96"/>
      <c r="BE12" s="97"/>
      <c r="BF12" s="95">
        <v>0.53</v>
      </c>
      <c r="BG12" s="96">
        <v>0.47</v>
      </c>
      <c r="BH12" s="660">
        <f t="shared" si="28"/>
        <v>0.53</v>
      </c>
      <c r="BI12" s="662">
        <f t="shared" si="29"/>
        <v>0.47</v>
      </c>
      <c r="BJ12" s="101"/>
      <c r="BK12" s="96">
        <v>0.04</v>
      </c>
      <c r="BL12" s="660">
        <f t="shared" si="30"/>
        <v>0</v>
      </c>
      <c r="BM12" s="660">
        <f t="shared" si="31"/>
        <v>0.04</v>
      </c>
      <c r="BN12" s="95"/>
      <c r="BO12" s="96"/>
      <c r="BP12" s="660">
        <f t="shared" si="32"/>
        <v>0</v>
      </c>
      <c r="BQ12" s="660">
        <f t="shared" si="33"/>
        <v>0</v>
      </c>
      <c r="BR12" s="101"/>
      <c r="BS12" s="96"/>
      <c r="BT12" s="660">
        <f aca="true" t="shared" si="51" ref="BT12:BU15">BR12</f>
        <v>0</v>
      </c>
      <c r="BU12" s="660">
        <f t="shared" si="51"/>
        <v>0</v>
      </c>
      <c r="BV12" s="1068"/>
      <c r="BW12" s="96"/>
      <c r="BX12" s="96"/>
      <c r="BY12" s="98"/>
      <c r="BZ12" s="1422"/>
      <c r="CA12" s="102"/>
      <c r="CB12" s="102"/>
      <c r="CC12" s="1072"/>
      <c r="CD12" s="103"/>
      <c r="CE12" s="104"/>
      <c r="CF12" s="104"/>
      <c r="CG12" s="1520"/>
      <c r="CH12" s="110"/>
      <c r="CI12" s="107"/>
      <c r="CJ12" s="107"/>
      <c r="CK12" s="1076"/>
      <c r="CL12" s="95"/>
      <c r="CM12" s="96"/>
      <c r="CN12" s="96"/>
      <c r="CO12" s="97"/>
      <c r="CP12" s="674">
        <f t="shared" si="44"/>
        <v>0.5800000000000001</v>
      </c>
      <c r="CQ12" s="672">
        <f t="shared" si="45"/>
        <v>0.51</v>
      </c>
      <c r="CR12" s="672">
        <f t="shared" si="46"/>
        <v>0.5800000000000001</v>
      </c>
      <c r="CS12" s="1515">
        <f t="shared" si="47"/>
        <v>0.51</v>
      </c>
      <c r="CT12" s="110"/>
      <c r="CU12" s="107"/>
      <c r="CV12" s="671">
        <f t="shared" si="48"/>
        <v>0</v>
      </c>
      <c r="CW12" s="671">
        <f t="shared" si="49"/>
        <v>0</v>
      </c>
      <c r="CX12" s="111">
        <f t="shared" si="50"/>
        <v>0.5800000000000001</v>
      </c>
      <c r="CY12" s="111">
        <f t="shared" si="0"/>
        <v>0.51</v>
      </c>
      <c r="CZ12" s="111">
        <f t="shared" si="0"/>
        <v>0.5800000000000001</v>
      </c>
      <c r="DA12" s="341">
        <f t="shared" si="0"/>
        <v>0.51</v>
      </c>
    </row>
    <row r="13" spans="1:105" ht="17.25">
      <c r="A13" s="140" t="s">
        <v>17</v>
      </c>
      <c r="B13" s="339"/>
      <c r="C13" s="93"/>
      <c r="D13" s="657">
        <f t="shared" si="1"/>
        <v>0</v>
      </c>
      <c r="E13" s="658">
        <f t="shared" si="2"/>
        <v>0</v>
      </c>
      <c r="F13" s="95"/>
      <c r="G13" s="96"/>
      <c r="H13" s="660">
        <f t="shared" si="3"/>
        <v>0</v>
      </c>
      <c r="I13" s="660">
        <f t="shared" si="4"/>
        <v>0</v>
      </c>
      <c r="J13" s="95"/>
      <c r="K13" s="96"/>
      <c r="L13" s="96"/>
      <c r="M13" s="98"/>
      <c r="N13" s="101"/>
      <c r="O13" s="96"/>
      <c r="P13" s="660">
        <f t="shared" si="7"/>
        <v>0</v>
      </c>
      <c r="Q13" s="660">
        <f t="shared" si="8"/>
        <v>0</v>
      </c>
      <c r="R13" s="95"/>
      <c r="S13" s="96"/>
      <c r="T13" s="96"/>
      <c r="U13" s="97"/>
      <c r="V13" s="95"/>
      <c r="W13" s="96"/>
      <c r="X13" s="96"/>
      <c r="Y13" s="97"/>
      <c r="Z13" s="95"/>
      <c r="AA13" s="96"/>
      <c r="AB13" s="96"/>
      <c r="AC13" s="98"/>
      <c r="AD13" s="2"/>
      <c r="AE13" s="99"/>
      <c r="AF13" s="99"/>
      <c r="AG13" s="100"/>
      <c r="AH13" s="2"/>
      <c r="AI13" s="3">
        <v>0.23</v>
      </c>
      <c r="AJ13" s="55">
        <f t="shared" si="16"/>
        <v>0</v>
      </c>
      <c r="AK13" s="1062">
        <f t="shared" si="17"/>
        <v>0.23</v>
      </c>
      <c r="AL13" s="2"/>
      <c r="AM13" s="3"/>
      <c r="AN13" s="3"/>
      <c r="AO13" s="4"/>
      <c r="AP13" s="2">
        <v>1.07</v>
      </c>
      <c r="AQ13" s="3">
        <v>0.25</v>
      </c>
      <c r="AR13" s="55">
        <f t="shared" si="20"/>
        <v>1.07</v>
      </c>
      <c r="AS13" s="1062">
        <f t="shared" si="21"/>
        <v>0.25</v>
      </c>
      <c r="AT13" s="2">
        <v>3</v>
      </c>
      <c r="AU13" s="3">
        <v>1.5</v>
      </c>
      <c r="AV13" s="55">
        <f t="shared" si="22"/>
        <v>3</v>
      </c>
      <c r="AW13" s="66">
        <f t="shared" si="23"/>
        <v>1.5</v>
      </c>
      <c r="AX13" s="2"/>
      <c r="AY13" s="3"/>
      <c r="AZ13" s="3"/>
      <c r="BA13" s="4"/>
      <c r="BB13" s="26"/>
      <c r="BC13" s="96"/>
      <c r="BD13" s="96"/>
      <c r="BE13" s="97"/>
      <c r="BF13" s="95"/>
      <c r="BG13" s="96"/>
      <c r="BH13" s="96"/>
      <c r="BI13" s="98"/>
      <c r="BJ13" s="101"/>
      <c r="BK13" s="96"/>
      <c r="BL13" s="96"/>
      <c r="BM13" s="97"/>
      <c r="BN13" s="95"/>
      <c r="BO13" s="96"/>
      <c r="BP13" s="660">
        <f t="shared" si="32"/>
        <v>0</v>
      </c>
      <c r="BQ13" s="660">
        <f t="shared" si="33"/>
        <v>0</v>
      </c>
      <c r="BR13" s="101"/>
      <c r="BS13" s="96"/>
      <c r="BT13" s="660">
        <f t="shared" si="51"/>
        <v>0</v>
      </c>
      <c r="BU13" s="660">
        <f t="shared" si="51"/>
        <v>0</v>
      </c>
      <c r="BV13" s="1068"/>
      <c r="BW13" s="96"/>
      <c r="BX13" s="96"/>
      <c r="BY13" s="98"/>
      <c r="BZ13" s="1422"/>
      <c r="CA13" s="102"/>
      <c r="CB13" s="102"/>
      <c r="CC13" s="1072"/>
      <c r="CD13" s="103"/>
      <c r="CE13" s="104"/>
      <c r="CF13" s="104"/>
      <c r="CG13" s="1520"/>
      <c r="CH13" s="110"/>
      <c r="CI13" s="107"/>
      <c r="CJ13" s="107"/>
      <c r="CK13" s="1076"/>
      <c r="CL13" s="95"/>
      <c r="CM13" s="96"/>
      <c r="CN13" s="96"/>
      <c r="CO13" s="97"/>
      <c r="CP13" s="674">
        <f t="shared" si="44"/>
        <v>4.07</v>
      </c>
      <c r="CQ13" s="672">
        <f t="shared" si="45"/>
        <v>1.98</v>
      </c>
      <c r="CR13" s="672">
        <f t="shared" si="46"/>
        <v>4.07</v>
      </c>
      <c r="CS13" s="1515">
        <f t="shared" si="47"/>
        <v>1.98</v>
      </c>
      <c r="CT13" s="110">
        <v>0.73</v>
      </c>
      <c r="CU13" s="107">
        <v>1.81</v>
      </c>
      <c r="CV13" s="671">
        <f t="shared" si="48"/>
        <v>0.73</v>
      </c>
      <c r="CW13" s="671">
        <f t="shared" si="49"/>
        <v>1.81</v>
      </c>
      <c r="CX13" s="111">
        <f t="shared" si="50"/>
        <v>4.800000000000001</v>
      </c>
      <c r="CY13" s="111">
        <f t="shared" si="0"/>
        <v>3.79</v>
      </c>
      <c r="CZ13" s="111">
        <f t="shared" si="0"/>
        <v>4.800000000000001</v>
      </c>
      <c r="DA13" s="341">
        <f t="shared" si="0"/>
        <v>3.79</v>
      </c>
    </row>
    <row r="14" spans="1:105" ht="17.25">
      <c r="A14" s="140" t="s">
        <v>284</v>
      </c>
      <c r="B14" s="339"/>
      <c r="C14" s="93"/>
      <c r="D14" s="657">
        <f t="shared" si="1"/>
        <v>0</v>
      </c>
      <c r="E14" s="658">
        <f t="shared" si="2"/>
        <v>0</v>
      </c>
      <c r="F14" s="95"/>
      <c r="G14" s="96"/>
      <c r="H14" s="660">
        <f t="shared" si="3"/>
        <v>0</v>
      </c>
      <c r="I14" s="660">
        <f t="shared" si="4"/>
        <v>0</v>
      </c>
      <c r="J14" s="95"/>
      <c r="K14" s="96"/>
      <c r="L14" s="96"/>
      <c r="M14" s="98"/>
      <c r="N14" s="101">
        <v>55</v>
      </c>
      <c r="O14" s="96">
        <v>24</v>
      </c>
      <c r="P14" s="660">
        <f t="shared" si="7"/>
        <v>55</v>
      </c>
      <c r="Q14" s="660">
        <f t="shared" si="8"/>
        <v>24</v>
      </c>
      <c r="R14" s="95"/>
      <c r="S14" s="96"/>
      <c r="T14" s="96"/>
      <c r="U14" s="97"/>
      <c r="V14" s="95"/>
      <c r="W14" s="96"/>
      <c r="X14" s="96"/>
      <c r="Y14" s="97"/>
      <c r="Z14" s="95"/>
      <c r="AA14" s="96"/>
      <c r="AB14" s="96"/>
      <c r="AC14" s="98"/>
      <c r="AD14" s="2"/>
      <c r="AE14" s="99"/>
      <c r="AF14" s="99"/>
      <c r="AG14" s="100"/>
      <c r="AH14" s="2"/>
      <c r="AI14" s="3"/>
      <c r="AJ14" s="3"/>
      <c r="AK14" s="311"/>
      <c r="AL14" s="2"/>
      <c r="AM14" s="3"/>
      <c r="AN14" s="3"/>
      <c r="AO14" s="4"/>
      <c r="AP14" s="2"/>
      <c r="AQ14" s="3"/>
      <c r="AR14" s="55">
        <f t="shared" si="20"/>
        <v>0</v>
      </c>
      <c r="AS14" s="1062">
        <f t="shared" si="21"/>
        <v>0</v>
      </c>
      <c r="AT14" s="2">
        <v>18.9</v>
      </c>
      <c r="AU14" s="3">
        <v>11.5</v>
      </c>
      <c r="AV14" s="55">
        <f t="shared" si="22"/>
        <v>18.9</v>
      </c>
      <c r="AW14" s="66">
        <f t="shared" si="23"/>
        <v>11.5</v>
      </c>
      <c r="AX14" s="2"/>
      <c r="AY14" s="3"/>
      <c r="AZ14" s="3"/>
      <c r="BA14" s="4"/>
      <c r="BB14" s="26"/>
      <c r="BC14" s="96"/>
      <c r="BD14" s="96"/>
      <c r="BE14" s="97"/>
      <c r="BF14" s="95"/>
      <c r="BG14" s="96"/>
      <c r="BH14" s="96"/>
      <c r="BI14" s="98"/>
      <c r="BJ14" s="101"/>
      <c r="BK14" s="96"/>
      <c r="BL14" s="96"/>
      <c r="BM14" s="97"/>
      <c r="BN14" s="95"/>
      <c r="BO14" s="96"/>
      <c r="BP14" s="660">
        <f t="shared" si="32"/>
        <v>0</v>
      </c>
      <c r="BQ14" s="660">
        <f t="shared" si="33"/>
        <v>0</v>
      </c>
      <c r="BR14" s="101"/>
      <c r="BS14" s="96"/>
      <c r="BT14" s="660">
        <f t="shared" si="51"/>
        <v>0</v>
      </c>
      <c r="BU14" s="660">
        <f t="shared" si="51"/>
        <v>0</v>
      </c>
      <c r="BV14" s="1068"/>
      <c r="BW14" s="96"/>
      <c r="BX14" s="96"/>
      <c r="BY14" s="98"/>
      <c r="BZ14" s="1422"/>
      <c r="CA14" s="102"/>
      <c r="CB14" s="102"/>
      <c r="CC14" s="1072"/>
      <c r="CD14" s="103"/>
      <c r="CE14" s="104"/>
      <c r="CF14" s="104"/>
      <c r="CG14" s="1520"/>
      <c r="CH14" s="110"/>
      <c r="CI14" s="107"/>
      <c r="CJ14" s="107"/>
      <c r="CK14" s="1076"/>
      <c r="CL14" s="95"/>
      <c r="CM14" s="96"/>
      <c r="CN14" s="96"/>
      <c r="CO14" s="97"/>
      <c r="CP14" s="674">
        <f t="shared" si="44"/>
        <v>73.9</v>
      </c>
      <c r="CQ14" s="672">
        <f t="shared" si="45"/>
        <v>35.5</v>
      </c>
      <c r="CR14" s="672">
        <f t="shared" si="46"/>
        <v>73.9</v>
      </c>
      <c r="CS14" s="1515">
        <f t="shared" si="47"/>
        <v>35.5</v>
      </c>
      <c r="CT14" s="110"/>
      <c r="CU14" s="107"/>
      <c r="CV14" s="107"/>
      <c r="CW14" s="108"/>
      <c r="CX14" s="111">
        <f t="shared" si="50"/>
        <v>73.9</v>
      </c>
      <c r="CY14" s="111">
        <f t="shared" si="0"/>
        <v>35.5</v>
      </c>
      <c r="CZ14" s="111">
        <f t="shared" si="0"/>
        <v>73.9</v>
      </c>
      <c r="DA14" s="341">
        <f t="shared" si="0"/>
        <v>35.5</v>
      </c>
    </row>
    <row r="15" spans="1:105" ht="18" thickBot="1">
      <c r="A15" s="342" t="s">
        <v>19</v>
      </c>
      <c r="B15" s="368"/>
      <c r="C15" s="369"/>
      <c r="D15" s="657">
        <f t="shared" si="1"/>
        <v>0</v>
      </c>
      <c r="E15" s="658">
        <f t="shared" si="2"/>
        <v>0</v>
      </c>
      <c r="F15" s="343"/>
      <c r="G15" s="344"/>
      <c r="H15" s="660">
        <f t="shared" si="3"/>
        <v>0</v>
      </c>
      <c r="I15" s="660">
        <f t="shared" si="4"/>
        <v>0</v>
      </c>
      <c r="J15" s="343"/>
      <c r="K15" s="344"/>
      <c r="L15" s="344"/>
      <c r="M15" s="346"/>
      <c r="N15" s="347"/>
      <c r="O15" s="344"/>
      <c r="P15" s="660">
        <f t="shared" si="7"/>
        <v>0</v>
      </c>
      <c r="Q15" s="660">
        <f t="shared" si="8"/>
        <v>0</v>
      </c>
      <c r="R15" s="343"/>
      <c r="S15" s="344"/>
      <c r="T15" s="344"/>
      <c r="U15" s="345"/>
      <c r="V15" s="343"/>
      <c r="W15" s="344"/>
      <c r="X15" s="344"/>
      <c r="Y15" s="345"/>
      <c r="Z15" s="343"/>
      <c r="AA15" s="344"/>
      <c r="AB15" s="344"/>
      <c r="AC15" s="346"/>
      <c r="AD15" s="370"/>
      <c r="AE15" s="371"/>
      <c r="AF15" s="371"/>
      <c r="AG15" s="372"/>
      <c r="AH15" s="370"/>
      <c r="AI15" s="374"/>
      <c r="AJ15" s="374"/>
      <c r="AK15" s="1063"/>
      <c r="AL15" s="370"/>
      <c r="AM15" s="374"/>
      <c r="AN15" s="374"/>
      <c r="AO15" s="375"/>
      <c r="AP15" s="370">
        <v>21.86</v>
      </c>
      <c r="AQ15" s="374"/>
      <c r="AR15" s="55">
        <f t="shared" si="20"/>
        <v>21.86</v>
      </c>
      <c r="AS15" s="1062">
        <f t="shared" si="21"/>
        <v>0</v>
      </c>
      <c r="AT15" s="370">
        <v>12.1</v>
      </c>
      <c r="AU15" s="374">
        <v>7.1</v>
      </c>
      <c r="AV15" s="55">
        <f t="shared" si="22"/>
        <v>12.1</v>
      </c>
      <c r="AW15" s="66">
        <f t="shared" si="23"/>
        <v>7.1</v>
      </c>
      <c r="AX15" s="370"/>
      <c r="AY15" s="374"/>
      <c r="AZ15" s="374"/>
      <c r="BA15" s="375"/>
      <c r="BB15" s="373"/>
      <c r="BC15" s="344"/>
      <c r="BD15" s="344"/>
      <c r="BE15" s="345"/>
      <c r="BF15" s="343"/>
      <c r="BG15" s="344"/>
      <c r="BH15" s="344"/>
      <c r="BI15" s="346"/>
      <c r="BJ15" s="347"/>
      <c r="BK15" s="344"/>
      <c r="BL15" s="344"/>
      <c r="BM15" s="345"/>
      <c r="BN15" s="343"/>
      <c r="BO15" s="344"/>
      <c r="BP15" s="660">
        <f t="shared" si="32"/>
        <v>0</v>
      </c>
      <c r="BQ15" s="660">
        <f t="shared" si="33"/>
        <v>0</v>
      </c>
      <c r="BR15" s="347">
        <v>0.01</v>
      </c>
      <c r="BS15" s="344"/>
      <c r="BT15" s="660">
        <f t="shared" si="51"/>
        <v>0.01</v>
      </c>
      <c r="BU15" s="660">
        <f t="shared" si="51"/>
        <v>0</v>
      </c>
      <c r="BV15" s="1069"/>
      <c r="BW15" s="344"/>
      <c r="BX15" s="344"/>
      <c r="BY15" s="346"/>
      <c r="BZ15" s="1524"/>
      <c r="CA15" s="376"/>
      <c r="CB15" s="376"/>
      <c r="CC15" s="1074"/>
      <c r="CD15" s="348"/>
      <c r="CE15" s="349"/>
      <c r="CF15" s="349"/>
      <c r="CG15" s="1521"/>
      <c r="CH15" s="352"/>
      <c r="CI15" s="350"/>
      <c r="CJ15" s="350"/>
      <c r="CK15" s="1077"/>
      <c r="CL15" s="343"/>
      <c r="CM15" s="344"/>
      <c r="CN15" s="344"/>
      <c r="CO15" s="345"/>
      <c r="CP15" s="674">
        <f t="shared" si="44"/>
        <v>33.97</v>
      </c>
      <c r="CQ15" s="672">
        <f t="shared" si="45"/>
        <v>7.1</v>
      </c>
      <c r="CR15" s="672">
        <f t="shared" si="46"/>
        <v>33.97</v>
      </c>
      <c r="CS15" s="1515">
        <f t="shared" si="47"/>
        <v>7.1</v>
      </c>
      <c r="CT15" s="352"/>
      <c r="CU15" s="350"/>
      <c r="CV15" s="350"/>
      <c r="CW15" s="351"/>
      <c r="CX15" s="353">
        <f t="shared" si="50"/>
        <v>33.97</v>
      </c>
      <c r="CY15" s="353">
        <f t="shared" si="0"/>
        <v>7.1</v>
      </c>
      <c r="CZ15" s="353">
        <f t="shared" si="0"/>
        <v>33.97</v>
      </c>
      <c r="DA15" s="354">
        <f t="shared" si="0"/>
        <v>7.1</v>
      </c>
    </row>
    <row r="16" spans="1:110" s="739" customFormat="1" ht="18.75" thickBot="1">
      <c r="A16" s="730" t="s">
        <v>20</v>
      </c>
      <c r="B16" s="731">
        <f>SUM(B5:B15)</f>
        <v>322</v>
      </c>
      <c r="C16" s="731">
        <f aca="true" t="shared" si="52" ref="C16:BN16">SUM(C5:C15)</f>
        <v>248.17000000000002</v>
      </c>
      <c r="D16" s="731">
        <f t="shared" si="52"/>
        <v>322</v>
      </c>
      <c r="E16" s="732">
        <f t="shared" si="52"/>
        <v>248.17000000000002</v>
      </c>
      <c r="F16" s="733">
        <f t="shared" si="52"/>
        <v>18.44</v>
      </c>
      <c r="G16" s="731">
        <f t="shared" si="52"/>
        <v>17.3</v>
      </c>
      <c r="H16" s="731">
        <f t="shared" si="52"/>
        <v>18.44</v>
      </c>
      <c r="I16" s="734">
        <f t="shared" si="52"/>
        <v>17.3</v>
      </c>
      <c r="J16" s="733">
        <f t="shared" si="52"/>
        <v>22.8</v>
      </c>
      <c r="K16" s="731">
        <f t="shared" si="52"/>
        <v>31.810000000000002</v>
      </c>
      <c r="L16" s="731">
        <f t="shared" si="52"/>
        <v>22.8</v>
      </c>
      <c r="M16" s="734">
        <f t="shared" si="52"/>
        <v>31.810000000000002</v>
      </c>
      <c r="N16" s="731">
        <f t="shared" si="52"/>
        <v>346</v>
      </c>
      <c r="O16" s="731">
        <f t="shared" si="52"/>
        <v>296</v>
      </c>
      <c r="P16" s="731">
        <f t="shared" si="52"/>
        <v>346</v>
      </c>
      <c r="Q16" s="732">
        <f t="shared" si="52"/>
        <v>296</v>
      </c>
      <c r="R16" s="733">
        <f t="shared" si="52"/>
        <v>132</v>
      </c>
      <c r="S16" s="731">
        <f t="shared" si="52"/>
        <v>111</v>
      </c>
      <c r="T16" s="731">
        <f t="shared" si="52"/>
        <v>132</v>
      </c>
      <c r="U16" s="732">
        <f t="shared" si="52"/>
        <v>111</v>
      </c>
      <c r="V16" s="733">
        <f t="shared" si="52"/>
        <v>175.33</v>
      </c>
      <c r="W16" s="731">
        <f t="shared" si="52"/>
        <v>139.89999999999998</v>
      </c>
      <c r="X16" s="731">
        <f t="shared" si="52"/>
        <v>175.33</v>
      </c>
      <c r="Y16" s="732">
        <f t="shared" si="52"/>
        <v>139.89999999999998</v>
      </c>
      <c r="Z16" s="733">
        <f t="shared" si="52"/>
        <v>45.07000000000001</v>
      </c>
      <c r="AA16" s="731">
        <f t="shared" si="52"/>
        <v>87.87</v>
      </c>
      <c r="AB16" s="731">
        <f t="shared" si="52"/>
        <v>45.07000000000001</v>
      </c>
      <c r="AC16" s="734">
        <f t="shared" si="52"/>
        <v>87.87</v>
      </c>
      <c r="AD16" s="733">
        <f t="shared" si="52"/>
        <v>48.519999999999996</v>
      </c>
      <c r="AE16" s="731">
        <f t="shared" si="52"/>
        <v>51.45</v>
      </c>
      <c r="AF16" s="731">
        <f t="shared" si="52"/>
        <v>48.519999999999996</v>
      </c>
      <c r="AG16" s="734">
        <f t="shared" si="52"/>
        <v>51.45</v>
      </c>
      <c r="AH16" s="733">
        <f t="shared" si="52"/>
        <v>139.54000000000002</v>
      </c>
      <c r="AI16" s="731">
        <f t="shared" si="52"/>
        <v>131.81</v>
      </c>
      <c r="AJ16" s="731">
        <f t="shared" si="52"/>
        <v>139.54000000000002</v>
      </c>
      <c r="AK16" s="732">
        <f t="shared" si="52"/>
        <v>131.81</v>
      </c>
      <c r="AL16" s="733">
        <f t="shared" si="52"/>
        <v>57.019999999999996</v>
      </c>
      <c r="AM16" s="731">
        <f t="shared" si="52"/>
        <v>43.94</v>
      </c>
      <c r="AN16" s="731">
        <f t="shared" si="52"/>
        <v>57.019999999999996</v>
      </c>
      <c r="AO16" s="734">
        <f t="shared" si="52"/>
        <v>43.94</v>
      </c>
      <c r="AP16" s="733">
        <f t="shared" si="52"/>
        <v>1956.74</v>
      </c>
      <c r="AQ16" s="731">
        <f t="shared" si="52"/>
        <v>1235.4</v>
      </c>
      <c r="AR16" s="731">
        <f t="shared" si="52"/>
        <v>1956.74</v>
      </c>
      <c r="AS16" s="732">
        <f t="shared" si="52"/>
        <v>1235.4</v>
      </c>
      <c r="AT16" s="733">
        <f t="shared" si="52"/>
        <v>1532.5</v>
      </c>
      <c r="AU16" s="731">
        <f t="shared" si="52"/>
        <v>1491.3999999999999</v>
      </c>
      <c r="AV16" s="731">
        <f t="shared" si="52"/>
        <v>1532.5</v>
      </c>
      <c r="AW16" s="734">
        <f t="shared" si="52"/>
        <v>1491.3999999999999</v>
      </c>
      <c r="AX16" s="733">
        <f t="shared" si="52"/>
        <v>72.86000000000001</v>
      </c>
      <c r="AY16" s="731">
        <f t="shared" si="52"/>
        <v>104.05</v>
      </c>
      <c r="AZ16" s="731">
        <f t="shared" si="52"/>
        <v>72.86000000000001</v>
      </c>
      <c r="BA16" s="734">
        <f t="shared" si="52"/>
        <v>104.05</v>
      </c>
      <c r="BB16" s="731">
        <f t="shared" si="52"/>
        <v>123.03000000000003</v>
      </c>
      <c r="BC16" s="731">
        <f t="shared" si="52"/>
        <v>105.32</v>
      </c>
      <c r="BD16" s="731">
        <f t="shared" si="52"/>
        <v>123.03000000000003</v>
      </c>
      <c r="BE16" s="732">
        <f t="shared" si="52"/>
        <v>105.32</v>
      </c>
      <c r="BF16" s="733">
        <f t="shared" si="52"/>
        <v>300.0399999999999</v>
      </c>
      <c r="BG16" s="731">
        <f t="shared" si="52"/>
        <v>277.69</v>
      </c>
      <c r="BH16" s="731">
        <f t="shared" si="52"/>
        <v>300.0399999999999</v>
      </c>
      <c r="BI16" s="734">
        <f t="shared" si="52"/>
        <v>277.69</v>
      </c>
      <c r="BJ16" s="731">
        <f t="shared" si="52"/>
        <v>826</v>
      </c>
      <c r="BK16" s="731">
        <f t="shared" si="52"/>
        <v>676.8899999999999</v>
      </c>
      <c r="BL16" s="731">
        <f t="shared" si="52"/>
        <v>826</v>
      </c>
      <c r="BM16" s="732">
        <f t="shared" si="52"/>
        <v>676.8899999999999</v>
      </c>
      <c r="BN16" s="733">
        <f t="shared" si="52"/>
        <v>242.39</v>
      </c>
      <c r="BO16" s="731">
        <f aca="true" t="shared" si="53" ref="BO16:CO16">SUM(BO5:BO15)</f>
        <v>231.47000000000003</v>
      </c>
      <c r="BP16" s="731">
        <f t="shared" si="53"/>
        <v>242.39</v>
      </c>
      <c r="BQ16" s="734">
        <f t="shared" si="53"/>
        <v>231.47000000000003</v>
      </c>
      <c r="BR16" s="731">
        <f t="shared" si="53"/>
        <v>213.16</v>
      </c>
      <c r="BS16" s="731">
        <f t="shared" si="53"/>
        <v>176.56</v>
      </c>
      <c r="BT16" s="731">
        <f t="shared" si="53"/>
        <v>213.16</v>
      </c>
      <c r="BU16" s="732">
        <f t="shared" si="53"/>
        <v>176.56</v>
      </c>
      <c r="BV16" s="733">
        <f t="shared" si="53"/>
        <v>0</v>
      </c>
      <c r="BW16" s="731">
        <f t="shared" si="53"/>
        <v>0</v>
      </c>
      <c r="BX16" s="731">
        <f t="shared" si="53"/>
        <v>0</v>
      </c>
      <c r="BY16" s="734">
        <f t="shared" si="53"/>
        <v>0</v>
      </c>
      <c r="BZ16" s="733">
        <f t="shared" si="53"/>
        <v>1873</v>
      </c>
      <c r="CA16" s="731">
        <f t="shared" si="53"/>
        <v>1326</v>
      </c>
      <c r="CB16" s="731">
        <f t="shared" si="53"/>
        <v>1873</v>
      </c>
      <c r="CC16" s="732">
        <f t="shared" si="53"/>
        <v>1326</v>
      </c>
      <c r="CD16" s="733">
        <f t="shared" si="53"/>
        <v>86.8</v>
      </c>
      <c r="CE16" s="731">
        <f t="shared" si="53"/>
        <v>83.67999999999999</v>
      </c>
      <c r="CF16" s="731">
        <f t="shared" si="53"/>
        <v>86.8</v>
      </c>
      <c r="CG16" s="732">
        <f t="shared" si="53"/>
        <v>83.67999999999999</v>
      </c>
      <c r="CH16" s="733">
        <f t="shared" si="53"/>
        <v>95.41599999999998</v>
      </c>
      <c r="CI16" s="731">
        <f t="shared" si="53"/>
        <v>70.27600000000001</v>
      </c>
      <c r="CJ16" s="731">
        <f t="shared" si="53"/>
        <v>95.41599999999998</v>
      </c>
      <c r="CK16" s="732">
        <f t="shared" si="53"/>
        <v>70.27600000000001</v>
      </c>
      <c r="CL16" s="733">
        <f t="shared" si="53"/>
        <v>555.61</v>
      </c>
      <c r="CM16" s="731">
        <f t="shared" si="53"/>
        <v>266.70000000000005</v>
      </c>
      <c r="CN16" s="731">
        <f t="shared" si="53"/>
        <v>555.61</v>
      </c>
      <c r="CO16" s="732">
        <f t="shared" si="53"/>
        <v>266.70000000000005</v>
      </c>
      <c r="CP16" s="737">
        <f aca="true" t="shared" si="54" ref="CP16:CS18">SUM(B16+F16+J16+N16+R16+V16+Z16+AD16+AH16+AL16+AP16+AT16+AX16+BB16+BF16+BJ16+BN16+BR16+BV16+BZ16+CD16+CH16+CL16)</f>
        <v>9184.265999999998</v>
      </c>
      <c r="CQ16" s="735">
        <f t="shared" si="54"/>
        <v>7204.686000000001</v>
      </c>
      <c r="CR16" s="735">
        <f t="shared" si="54"/>
        <v>9184.265999999998</v>
      </c>
      <c r="CS16" s="1516">
        <f t="shared" si="54"/>
        <v>7204.686000000001</v>
      </c>
      <c r="CT16" s="736">
        <f>SUM(CT5:CT15)</f>
        <v>9148.26</v>
      </c>
      <c r="CU16" s="736">
        <f>SUM(CU5:CU15)</f>
        <v>8563.509999999998</v>
      </c>
      <c r="CV16" s="736">
        <f>SUM(CV5:CV15)</f>
        <v>9148.26</v>
      </c>
      <c r="CW16" s="736">
        <f>SUM(CW5:CW15)</f>
        <v>8563.509999999998</v>
      </c>
      <c r="CX16" s="737">
        <f t="shared" si="50"/>
        <v>18332.525999999998</v>
      </c>
      <c r="CY16" s="737">
        <f t="shared" si="0"/>
        <v>15768.196</v>
      </c>
      <c r="CZ16" s="737">
        <f t="shared" si="0"/>
        <v>18332.525999999998</v>
      </c>
      <c r="DA16" s="738">
        <f t="shared" si="0"/>
        <v>15768.196</v>
      </c>
      <c r="DB16" s="1493"/>
      <c r="DC16" s="1493"/>
      <c r="DD16" s="1493"/>
      <c r="DE16" s="1493"/>
      <c r="DF16" s="1493"/>
    </row>
    <row r="17" spans="1:105" ht="18" thickBot="1">
      <c r="A17" s="377" t="s">
        <v>11</v>
      </c>
      <c r="B17" s="378"/>
      <c r="C17" s="379"/>
      <c r="D17" s="379"/>
      <c r="E17" s="380"/>
      <c r="F17" s="355"/>
      <c r="G17" s="356"/>
      <c r="H17" s="356"/>
      <c r="I17" s="358"/>
      <c r="J17" s="355">
        <v>-0.04</v>
      </c>
      <c r="K17" s="356">
        <v>-0.01</v>
      </c>
      <c r="L17" s="355">
        <v>-0.04</v>
      </c>
      <c r="M17" s="358">
        <v>-0.01</v>
      </c>
      <c r="N17" s="359"/>
      <c r="O17" s="356"/>
      <c r="P17" s="356"/>
      <c r="Q17" s="357"/>
      <c r="R17" s="355"/>
      <c r="S17" s="356"/>
      <c r="T17" s="356"/>
      <c r="U17" s="357"/>
      <c r="V17" s="355"/>
      <c r="W17" s="356"/>
      <c r="X17" s="356"/>
      <c r="Y17" s="357"/>
      <c r="Z17" s="355">
        <v>0.33</v>
      </c>
      <c r="AA17" s="356">
        <v>0.67</v>
      </c>
      <c r="AB17" s="355">
        <v>0.33</v>
      </c>
      <c r="AC17" s="356">
        <v>0.67</v>
      </c>
      <c r="AD17" s="381"/>
      <c r="AE17" s="382"/>
      <c r="AF17" s="382"/>
      <c r="AG17" s="383"/>
      <c r="AH17" s="381">
        <v>3.27</v>
      </c>
      <c r="AI17" s="384">
        <v>5.1</v>
      </c>
      <c r="AJ17" s="381">
        <v>3.27</v>
      </c>
      <c r="AK17" s="1064">
        <v>5.1</v>
      </c>
      <c r="AL17" s="381"/>
      <c r="AM17" s="384"/>
      <c r="AN17" s="384"/>
      <c r="AO17" s="385"/>
      <c r="AP17" s="381"/>
      <c r="AQ17" s="384">
        <v>0.02</v>
      </c>
      <c r="AR17" s="384"/>
      <c r="AS17" s="1064">
        <v>0.02</v>
      </c>
      <c r="AT17" s="381"/>
      <c r="AU17" s="384"/>
      <c r="AV17" s="384"/>
      <c r="AW17" s="385"/>
      <c r="AX17" s="381"/>
      <c r="AY17" s="384"/>
      <c r="AZ17" s="384"/>
      <c r="BA17" s="385"/>
      <c r="BB17" s="359"/>
      <c r="BC17" s="356"/>
      <c r="BD17" s="356"/>
      <c r="BE17" s="357"/>
      <c r="BF17" s="355">
        <v>0.11</v>
      </c>
      <c r="BG17" s="356">
        <v>0.14</v>
      </c>
      <c r="BH17" s="355">
        <v>0.11</v>
      </c>
      <c r="BI17" s="358">
        <v>0.14</v>
      </c>
      <c r="BJ17" s="359"/>
      <c r="BK17" s="356"/>
      <c r="BL17" s="356"/>
      <c r="BM17" s="357"/>
      <c r="BN17" s="355">
        <v>0.01</v>
      </c>
      <c r="BO17" s="356">
        <v>0.02</v>
      </c>
      <c r="BP17" s="355">
        <v>0.01</v>
      </c>
      <c r="BQ17" s="356">
        <v>0.02</v>
      </c>
      <c r="BR17" s="359"/>
      <c r="BS17" s="356"/>
      <c r="BT17" s="356"/>
      <c r="BU17" s="357"/>
      <c r="BV17" s="1070"/>
      <c r="BW17" s="356"/>
      <c r="BX17" s="356"/>
      <c r="BY17" s="358"/>
      <c r="BZ17" s="1525"/>
      <c r="CA17" s="386"/>
      <c r="CB17" s="386"/>
      <c r="CC17" s="1075"/>
      <c r="CD17" s="360"/>
      <c r="CE17" s="361"/>
      <c r="CF17" s="361"/>
      <c r="CG17" s="1522"/>
      <c r="CH17" s="365"/>
      <c r="CI17" s="362"/>
      <c r="CJ17" s="362"/>
      <c r="CK17" s="1078"/>
      <c r="CL17" s="355"/>
      <c r="CM17" s="356"/>
      <c r="CN17" s="356"/>
      <c r="CO17" s="357"/>
      <c r="CP17" s="366">
        <f t="shared" si="54"/>
        <v>3.6799999999999997</v>
      </c>
      <c r="CQ17" s="364">
        <f t="shared" si="54"/>
        <v>5.939999999999999</v>
      </c>
      <c r="CR17" s="364">
        <f t="shared" si="54"/>
        <v>3.6799999999999997</v>
      </c>
      <c r="CS17" s="1517">
        <f t="shared" si="54"/>
        <v>5.939999999999999</v>
      </c>
      <c r="CT17" s="365"/>
      <c r="CU17" s="362"/>
      <c r="CV17" s="362"/>
      <c r="CW17" s="363"/>
      <c r="CX17" s="366">
        <f t="shared" si="50"/>
        <v>3.6799999999999997</v>
      </c>
      <c r="CY17" s="366">
        <f t="shared" si="0"/>
        <v>5.939999999999999</v>
      </c>
      <c r="CZ17" s="366">
        <f t="shared" si="0"/>
        <v>3.6799999999999997</v>
      </c>
      <c r="DA17" s="367">
        <f t="shared" si="0"/>
        <v>5.939999999999999</v>
      </c>
    </row>
    <row r="18" spans="1:110" s="739" customFormat="1" ht="18.75" thickBot="1">
      <c r="A18" s="740" t="s">
        <v>12</v>
      </c>
      <c r="B18" s="741">
        <f>B16+B17</f>
        <v>322</v>
      </c>
      <c r="C18" s="741">
        <f aca="true" t="shared" si="55" ref="C18:BN18">C16+C17</f>
        <v>248.17000000000002</v>
      </c>
      <c r="D18" s="741">
        <f t="shared" si="55"/>
        <v>322</v>
      </c>
      <c r="E18" s="742">
        <f t="shared" si="55"/>
        <v>248.17000000000002</v>
      </c>
      <c r="F18" s="743">
        <f t="shared" si="55"/>
        <v>18.44</v>
      </c>
      <c r="G18" s="741">
        <f t="shared" si="55"/>
        <v>17.3</v>
      </c>
      <c r="H18" s="741">
        <f t="shared" si="55"/>
        <v>18.44</v>
      </c>
      <c r="I18" s="744">
        <f t="shared" si="55"/>
        <v>17.3</v>
      </c>
      <c r="J18" s="743">
        <f t="shared" si="55"/>
        <v>22.76</v>
      </c>
      <c r="K18" s="741">
        <f t="shared" si="55"/>
        <v>31.8</v>
      </c>
      <c r="L18" s="741">
        <f t="shared" si="55"/>
        <v>22.76</v>
      </c>
      <c r="M18" s="744">
        <f t="shared" si="55"/>
        <v>31.8</v>
      </c>
      <c r="N18" s="741">
        <f t="shared" si="55"/>
        <v>346</v>
      </c>
      <c r="O18" s="741">
        <f t="shared" si="55"/>
        <v>296</v>
      </c>
      <c r="P18" s="741">
        <f t="shared" si="55"/>
        <v>346</v>
      </c>
      <c r="Q18" s="742">
        <f t="shared" si="55"/>
        <v>296</v>
      </c>
      <c r="R18" s="743">
        <f t="shared" si="55"/>
        <v>132</v>
      </c>
      <c r="S18" s="741">
        <f t="shared" si="55"/>
        <v>111</v>
      </c>
      <c r="T18" s="741">
        <f t="shared" si="55"/>
        <v>132</v>
      </c>
      <c r="U18" s="742">
        <f t="shared" si="55"/>
        <v>111</v>
      </c>
      <c r="V18" s="743">
        <f t="shared" si="55"/>
        <v>175.33</v>
      </c>
      <c r="W18" s="741">
        <f t="shared" si="55"/>
        <v>139.89999999999998</v>
      </c>
      <c r="X18" s="741">
        <f t="shared" si="55"/>
        <v>175.33</v>
      </c>
      <c r="Y18" s="742">
        <f t="shared" si="55"/>
        <v>139.89999999999998</v>
      </c>
      <c r="Z18" s="743">
        <f t="shared" si="55"/>
        <v>45.400000000000006</v>
      </c>
      <c r="AA18" s="741">
        <f t="shared" si="55"/>
        <v>88.54</v>
      </c>
      <c r="AB18" s="741">
        <f t="shared" si="55"/>
        <v>45.400000000000006</v>
      </c>
      <c r="AC18" s="744">
        <f t="shared" si="55"/>
        <v>88.54</v>
      </c>
      <c r="AD18" s="743">
        <f t="shared" si="55"/>
        <v>48.519999999999996</v>
      </c>
      <c r="AE18" s="741">
        <f t="shared" si="55"/>
        <v>51.45</v>
      </c>
      <c r="AF18" s="741">
        <f t="shared" si="55"/>
        <v>48.519999999999996</v>
      </c>
      <c r="AG18" s="744">
        <f t="shared" si="55"/>
        <v>51.45</v>
      </c>
      <c r="AH18" s="743">
        <f t="shared" si="55"/>
        <v>142.81000000000003</v>
      </c>
      <c r="AI18" s="741">
        <f t="shared" si="55"/>
        <v>136.91</v>
      </c>
      <c r="AJ18" s="741">
        <f t="shared" si="55"/>
        <v>142.81000000000003</v>
      </c>
      <c r="AK18" s="742">
        <f t="shared" si="55"/>
        <v>136.91</v>
      </c>
      <c r="AL18" s="743">
        <f t="shared" si="55"/>
        <v>57.019999999999996</v>
      </c>
      <c r="AM18" s="741">
        <f t="shared" si="55"/>
        <v>43.94</v>
      </c>
      <c r="AN18" s="741">
        <f t="shared" si="55"/>
        <v>57.019999999999996</v>
      </c>
      <c r="AO18" s="744">
        <f t="shared" si="55"/>
        <v>43.94</v>
      </c>
      <c r="AP18" s="743">
        <f t="shared" si="55"/>
        <v>1956.74</v>
      </c>
      <c r="AQ18" s="741">
        <f t="shared" si="55"/>
        <v>1235.42</v>
      </c>
      <c r="AR18" s="741">
        <f t="shared" si="55"/>
        <v>1956.74</v>
      </c>
      <c r="AS18" s="742">
        <f t="shared" si="55"/>
        <v>1235.42</v>
      </c>
      <c r="AT18" s="743">
        <f t="shared" si="55"/>
        <v>1532.5</v>
      </c>
      <c r="AU18" s="741">
        <f t="shared" si="55"/>
        <v>1491.3999999999999</v>
      </c>
      <c r="AV18" s="741">
        <f t="shared" si="55"/>
        <v>1532.5</v>
      </c>
      <c r="AW18" s="744">
        <f t="shared" si="55"/>
        <v>1491.3999999999999</v>
      </c>
      <c r="AX18" s="743">
        <f t="shared" si="55"/>
        <v>72.86000000000001</v>
      </c>
      <c r="AY18" s="741">
        <f t="shared" si="55"/>
        <v>104.05</v>
      </c>
      <c r="AZ18" s="741">
        <f t="shared" si="55"/>
        <v>72.86000000000001</v>
      </c>
      <c r="BA18" s="744">
        <f t="shared" si="55"/>
        <v>104.05</v>
      </c>
      <c r="BB18" s="741">
        <f t="shared" si="55"/>
        <v>123.03000000000003</v>
      </c>
      <c r="BC18" s="741">
        <f t="shared" si="55"/>
        <v>105.32</v>
      </c>
      <c r="BD18" s="741">
        <f t="shared" si="55"/>
        <v>123.03000000000003</v>
      </c>
      <c r="BE18" s="742">
        <f t="shared" si="55"/>
        <v>105.32</v>
      </c>
      <c r="BF18" s="743">
        <f t="shared" si="55"/>
        <v>300.1499999999999</v>
      </c>
      <c r="BG18" s="741">
        <f t="shared" si="55"/>
        <v>277.83</v>
      </c>
      <c r="BH18" s="741">
        <f t="shared" si="55"/>
        <v>300.1499999999999</v>
      </c>
      <c r="BI18" s="744">
        <f t="shared" si="55"/>
        <v>277.83</v>
      </c>
      <c r="BJ18" s="741">
        <f t="shared" si="55"/>
        <v>826</v>
      </c>
      <c r="BK18" s="741">
        <f t="shared" si="55"/>
        <v>676.8899999999999</v>
      </c>
      <c r="BL18" s="741">
        <f t="shared" si="55"/>
        <v>826</v>
      </c>
      <c r="BM18" s="742">
        <f t="shared" si="55"/>
        <v>676.8899999999999</v>
      </c>
      <c r="BN18" s="743">
        <f t="shared" si="55"/>
        <v>242.39999999999998</v>
      </c>
      <c r="BO18" s="741">
        <f aca="true" t="shared" si="56" ref="BO18:CO18">BO16+BO17</f>
        <v>231.49000000000004</v>
      </c>
      <c r="BP18" s="741">
        <f t="shared" si="56"/>
        <v>242.39999999999998</v>
      </c>
      <c r="BQ18" s="744">
        <f t="shared" si="56"/>
        <v>231.49000000000004</v>
      </c>
      <c r="BR18" s="741">
        <f t="shared" si="56"/>
        <v>213.16</v>
      </c>
      <c r="BS18" s="741">
        <f t="shared" si="56"/>
        <v>176.56</v>
      </c>
      <c r="BT18" s="741">
        <f t="shared" si="56"/>
        <v>213.16</v>
      </c>
      <c r="BU18" s="742">
        <f t="shared" si="56"/>
        <v>176.56</v>
      </c>
      <c r="BV18" s="743">
        <f t="shared" si="56"/>
        <v>0</v>
      </c>
      <c r="BW18" s="741">
        <f t="shared" si="56"/>
        <v>0</v>
      </c>
      <c r="BX18" s="741">
        <f t="shared" si="56"/>
        <v>0</v>
      </c>
      <c r="BY18" s="744">
        <f t="shared" si="56"/>
        <v>0</v>
      </c>
      <c r="BZ18" s="743">
        <f t="shared" si="56"/>
        <v>1873</v>
      </c>
      <c r="CA18" s="741">
        <f t="shared" si="56"/>
        <v>1326</v>
      </c>
      <c r="CB18" s="741">
        <f t="shared" si="56"/>
        <v>1873</v>
      </c>
      <c r="CC18" s="742">
        <f t="shared" si="56"/>
        <v>1326</v>
      </c>
      <c r="CD18" s="743">
        <f t="shared" si="56"/>
        <v>86.8</v>
      </c>
      <c r="CE18" s="741">
        <f t="shared" si="56"/>
        <v>83.67999999999999</v>
      </c>
      <c r="CF18" s="741">
        <f t="shared" si="56"/>
        <v>86.8</v>
      </c>
      <c r="CG18" s="742">
        <f t="shared" si="56"/>
        <v>83.67999999999999</v>
      </c>
      <c r="CH18" s="743">
        <f t="shared" si="56"/>
        <v>95.41599999999998</v>
      </c>
      <c r="CI18" s="741">
        <f t="shared" si="56"/>
        <v>70.27600000000001</v>
      </c>
      <c r="CJ18" s="741">
        <f t="shared" si="56"/>
        <v>95.41599999999998</v>
      </c>
      <c r="CK18" s="742">
        <f t="shared" si="56"/>
        <v>70.27600000000001</v>
      </c>
      <c r="CL18" s="743">
        <f t="shared" si="56"/>
        <v>555.61</v>
      </c>
      <c r="CM18" s="741">
        <f t="shared" si="56"/>
        <v>266.70000000000005</v>
      </c>
      <c r="CN18" s="741">
        <f t="shared" si="56"/>
        <v>555.61</v>
      </c>
      <c r="CO18" s="742">
        <f t="shared" si="56"/>
        <v>266.70000000000005</v>
      </c>
      <c r="CP18" s="746">
        <f t="shared" si="54"/>
        <v>9187.945999999998</v>
      </c>
      <c r="CQ18" s="745">
        <f t="shared" si="54"/>
        <v>7210.626</v>
      </c>
      <c r="CR18" s="745">
        <f t="shared" si="54"/>
        <v>9187.945999999998</v>
      </c>
      <c r="CS18" s="1518">
        <f t="shared" si="54"/>
        <v>7210.626</v>
      </c>
      <c r="CT18" s="746">
        <f>CT16+CT17</f>
        <v>9148.26</v>
      </c>
      <c r="CU18" s="746">
        <f>CU16+CU17</f>
        <v>8563.509999999998</v>
      </c>
      <c r="CV18" s="746">
        <f>CV16+CV17</f>
        <v>9148.26</v>
      </c>
      <c r="CW18" s="746">
        <f>CW16+CW17</f>
        <v>8563.509999999998</v>
      </c>
      <c r="CX18" s="746">
        <f t="shared" si="50"/>
        <v>18336.206</v>
      </c>
      <c r="CY18" s="746">
        <f t="shared" si="0"/>
        <v>15774.135999999999</v>
      </c>
      <c r="CZ18" s="746">
        <f t="shared" si="0"/>
        <v>18336.206</v>
      </c>
      <c r="DA18" s="747">
        <f t="shared" si="0"/>
        <v>15774.135999999999</v>
      </c>
      <c r="DB18" s="1493"/>
      <c r="DC18" s="1493"/>
      <c r="DD18" s="1493"/>
      <c r="DE18" s="1493"/>
      <c r="DF18" s="1493"/>
    </row>
    <row r="19" spans="90:93" ht="16.5">
      <c r="CL19" s="117"/>
      <c r="CM19" s="117"/>
      <c r="CN19" s="117"/>
      <c r="CO19" s="117"/>
    </row>
  </sheetData>
  <sheetProtection/>
  <mergeCells count="29">
    <mergeCell ref="R3:U3"/>
    <mergeCell ref="V3:Y3"/>
    <mergeCell ref="Z3:AC3"/>
    <mergeCell ref="BB3:BE3"/>
    <mergeCell ref="BF3:BI3"/>
    <mergeCell ref="BJ3:BM3"/>
    <mergeCell ref="AP3:AS3"/>
    <mergeCell ref="AT3:AW3"/>
    <mergeCell ref="AX3:BA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DB20"/>
  <sheetViews>
    <sheetView zoomScalePageLayoutView="0" workbookViewId="0" topLeftCell="A1">
      <pane xSplit="1" topLeftCell="CO1" activePane="topRight" state="frozen"/>
      <selection pane="topLeft" activeCell="A1" sqref="A1"/>
      <selection pane="topRight" activeCell="BW12" sqref="BW12"/>
    </sheetView>
  </sheetViews>
  <sheetFormatPr defaultColWidth="9.140625" defaultRowHeight="15"/>
  <cols>
    <col min="1" max="1" width="19.8515625" style="14" customWidth="1"/>
    <col min="2" max="3" width="11.421875" style="14" bestFit="1" customWidth="1"/>
    <col min="4" max="5" width="12.421875" style="14" bestFit="1" customWidth="1"/>
    <col min="6" max="7" width="11.421875" style="14" bestFit="1" customWidth="1"/>
    <col min="8" max="9" width="12.421875" style="14" bestFit="1" customWidth="1"/>
    <col min="10" max="11" width="11.421875" style="14" bestFit="1" customWidth="1"/>
    <col min="12" max="13" width="12.421875" style="14" bestFit="1" customWidth="1"/>
    <col min="14" max="15" width="11.421875" style="14" bestFit="1" customWidth="1"/>
    <col min="16" max="17" width="12.421875" style="14" bestFit="1" customWidth="1"/>
    <col min="18" max="19" width="11.421875" style="14" bestFit="1" customWidth="1"/>
    <col min="20" max="21" width="12.421875" style="14" bestFit="1" customWidth="1"/>
    <col min="22" max="23" width="11.421875" style="14" bestFit="1" customWidth="1"/>
    <col min="24" max="25" width="12.421875" style="14" bestFit="1" customWidth="1"/>
    <col min="26" max="27" width="11.421875" style="14" bestFit="1" customWidth="1"/>
    <col min="28" max="29" width="12.421875" style="14" bestFit="1" customWidth="1"/>
    <col min="30" max="31" width="11.421875" style="14" bestFit="1" customWidth="1"/>
    <col min="32" max="33" width="12.421875" style="14" bestFit="1" customWidth="1"/>
    <col min="34" max="35" width="11.421875" style="14" bestFit="1" customWidth="1"/>
    <col min="36" max="37" width="12.421875" style="14" bestFit="1" customWidth="1"/>
    <col min="38" max="39" width="11.421875" style="14" bestFit="1" customWidth="1"/>
    <col min="40" max="41" width="12.421875" style="14" bestFit="1" customWidth="1"/>
    <col min="42" max="43" width="11.421875" style="14" bestFit="1" customWidth="1"/>
    <col min="44" max="45" width="12.421875" style="14" bestFit="1" customWidth="1"/>
    <col min="46" max="47" width="11.421875" style="14" bestFit="1" customWidth="1"/>
    <col min="48" max="49" width="12.421875" style="14" bestFit="1" customWidth="1"/>
    <col min="50" max="51" width="11.421875" style="51" bestFit="1" customWidth="1"/>
    <col min="52" max="53" width="12.421875" style="51" bestFit="1" customWidth="1"/>
    <col min="54" max="55" width="11.421875" style="14" bestFit="1" customWidth="1"/>
    <col min="56" max="57" width="12.421875" style="14" bestFit="1" customWidth="1"/>
    <col min="58" max="59" width="11.421875" style="14" bestFit="1" customWidth="1"/>
    <col min="60" max="61" width="12.421875" style="14" bestFit="1" customWidth="1"/>
    <col min="62" max="63" width="11.421875" style="14" bestFit="1" customWidth="1"/>
    <col min="64" max="65" width="12.421875" style="14" bestFit="1" customWidth="1"/>
    <col min="66" max="67" width="11.421875" style="14" bestFit="1" customWidth="1"/>
    <col min="68" max="69" width="12.421875" style="14" bestFit="1" customWidth="1"/>
    <col min="70" max="71" width="11.421875" style="14" bestFit="1" customWidth="1"/>
    <col min="72" max="73" width="12.421875" style="14" bestFit="1" customWidth="1"/>
    <col min="74" max="75" width="11.421875" style="14" bestFit="1" customWidth="1"/>
    <col min="76" max="77" width="12.421875" style="14" bestFit="1" customWidth="1"/>
    <col min="78" max="79" width="11.421875" style="14" bestFit="1" customWidth="1"/>
    <col min="80" max="81" width="12.421875" style="14" bestFit="1" customWidth="1"/>
    <col min="82" max="82" width="11.421875" style="14" bestFit="1" customWidth="1"/>
    <col min="83" max="83" width="11.421875" style="14" customWidth="1"/>
    <col min="84" max="85" width="12.421875" style="14" bestFit="1" customWidth="1"/>
    <col min="86" max="87" width="11.421875" style="14" bestFit="1" customWidth="1"/>
    <col min="88" max="89" width="12.421875" style="14" bestFit="1" customWidth="1"/>
    <col min="90" max="91" width="11.421875" style="14" bestFit="1" customWidth="1"/>
    <col min="92" max="93" width="12.421875" style="14" bestFit="1" customWidth="1"/>
    <col min="94" max="95" width="11.421875" style="14" bestFit="1" customWidth="1"/>
    <col min="96" max="97" width="12.421875" style="14" bestFit="1" customWidth="1"/>
    <col min="98" max="99" width="11.421875" style="14" bestFit="1" customWidth="1"/>
    <col min="100" max="101" width="12.421875" style="14" bestFit="1" customWidth="1"/>
    <col min="102" max="103" width="11.421875" style="14" bestFit="1" customWidth="1"/>
    <col min="104" max="105" width="12.421875" style="14" bestFit="1" customWidth="1"/>
    <col min="106" max="106" width="9.57421875" style="14" bestFit="1" customWidth="1"/>
    <col min="107" max="16384" width="9.140625" style="14" customWidth="1"/>
  </cols>
  <sheetData>
    <row r="1" spans="1:105" ht="28.5" customHeight="1">
      <c r="A1" s="2122" t="s">
        <v>186</v>
      </c>
      <c r="B1" s="2122"/>
      <c r="C1" s="2122"/>
      <c r="D1" s="2122"/>
      <c r="E1" s="2122"/>
      <c r="F1" s="2122"/>
      <c r="G1" s="2122"/>
      <c r="H1" s="2122"/>
      <c r="I1" s="2122"/>
      <c r="J1" s="2122"/>
      <c r="K1" s="2122"/>
      <c r="L1" s="2122"/>
      <c r="M1" s="2122"/>
      <c r="N1" s="2122"/>
      <c r="O1" s="2122"/>
      <c r="P1" s="2122"/>
      <c r="Q1" s="2122"/>
      <c r="R1" s="2122"/>
      <c r="S1" s="2122"/>
      <c r="T1" s="2122"/>
      <c r="U1" s="2122"/>
      <c r="V1" s="2122"/>
      <c r="W1" s="2122"/>
      <c r="X1" s="2122"/>
      <c r="Y1" s="2122"/>
      <c r="Z1" s="2122"/>
      <c r="AA1" s="2122"/>
      <c r="AB1" s="2122"/>
      <c r="AC1" s="2122"/>
      <c r="AD1" s="2122"/>
      <c r="AE1" s="2122"/>
      <c r="AF1" s="2122"/>
      <c r="AG1" s="2122"/>
      <c r="AH1" s="2122"/>
      <c r="AI1" s="2122"/>
      <c r="AJ1" s="2122"/>
      <c r="AK1" s="2122"/>
      <c r="AL1" s="2122"/>
      <c r="AM1" s="2122"/>
      <c r="AN1" s="2122"/>
      <c r="AO1" s="2122"/>
      <c r="AP1" s="2122"/>
      <c r="AQ1" s="2122"/>
      <c r="AR1" s="2122"/>
      <c r="AS1" s="2122"/>
      <c r="AT1" s="2122"/>
      <c r="AU1" s="2122"/>
      <c r="AV1" s="2122"/>
      <c r="AW1" s="2122"/>
      <c r="AX1" s="2122"/>
      <c r="AY1" s="2122"/>
      <c r="AZ1" s="2122"/>
      <c r="BA1" s="2122"/>
      <c r="BB1" s="2122"/>
      <c r="BC1" s="2122"/>
      <c r="BD1" s="2122"/>
      <c r="BE1" s="2122"/>
      <c r="BF1" s="2122"/>
      <c r="BG1" s="2122"/>
      <c r="BH1" s="2122"/>
      <c r="BI1" s="2122"/>
      <c r="BJ1" s="2122"/>
      <c r="BK1" s="2122"/>
      <c r="BL1" s="2122"/>
      <c r="BM1" s="2122"/>
      <c r="BN1" s="2122"/>
      <c r="BO1" s="2122"/>
      <c r="BP1" s="2122"/>
      <c r="BQ1" s="2122"/>
      <c r="BR1" s="2122"/>
      <c r="BS1" s="2122"/>
      <c r="BT1" s="2122"/>
      <c r="BU1" s="2122"/>
      <c r="BV1" s="2122"/>
      <c r="BW1" s="2122"/>
      <c r="BX1" s="2122"/>
      <c r="BY1" s="2122"/>
      <c r="BZ1" s="2122"/>
      <c r="CA1" s="2122"/>
      <c r="CB1" s="2122"/>
      <c r="CC1" s="2122"/>
      <c r="CD1" s="2122"/>
      <c r="CE1" s="2122"/>
      <c r="CF1" s="2122"/>
      <c r="CG1" s="2122"/>
      <c r="CH1" s="2122"/>
      <c r="CI1" s="2122"/>
      <c r="CJ1" s="2122"/>
      <c r="CK1" s="2122"/>
      <c r="CL1" s="2122"/>
      <c r="CM1" s="2122"/>
      <c r="CN1" s="2122"/>
      <c r="CO1" s="2122"/>
      <c r="CP1" s="2122"/>
      <c r="CQ1" s="2122"/>
      <c r="CR1" s="2122"/>
      <c r="CS1" s="2122"/>
      <c r="CT1" s="2122"/>
      <c r="CU1" s="2122"/>
      <c r="CV1" s="2122"/>
      <c r="CW1" s="2122"/>
      <c r="CX1" s="2122"/>
      <c r="CY1" s="2122"/>
      <c r="CZ1" s="56"/>
      <c r="DA1" s="56"/>
    </row>
    <row r="2" spans="1:105" ht="15" thickBot="1">
      <c r="A2" s="1967"/>
      <c r="B2" s="1967"/>
      <c r="C2" s="1967"/>
      <c r="D2" s="1967"/>
      <c r="E2" s="1967"/>
      <c r="F2" s="1967"/>
      <c r="G2" s="1967"/>
      <c r="H2" s="1967"/>
      <c r="I2" s="1967"/>
      <c r="J2" s="1967"/>
      <c r="K2" s="1967"/>
      <c r="L2" s="1967"/>
      <c r="M2" s="1967"/>
      <c r="N2" s="1967"/>
      <c r="O2" s="1967"/>
      <c r="P2" s="1967"/>
      <c r="Q2" s="1967"/>
      <c r="R2" s="1967"/>
      <c r="S2" s="1967"/>
      <c r="T2" s="1967"/>
      <c r="U2" s="1967"/>
      <c r="V2" s="1967"/>
      <c r="W2" s="1967"/>
      <c r="X2" s="1967"/>
      <c r="Y2" s="1967"/>
      <c r="Z2" s="1967"/>
      <c r="AA2" s="1967"/>
      <c r="AB2" s="1967"/>
      <c r="AC2" s="1967"/>
      <c r="AD2" s="1967"/>
      <c r="AE2" s="1967"/>
      <c r="AF2" s="1967"/>
      <c r="AG2" s="1967"/>
      <c r="AH2" s="1967"/>
      <c r="AI2" s="1967"/>
      <c r="AJ2" s="1967"/>
      <c r="AK2" s="1967"/>
      <c r="AL2" s="1967"/>
      <c r="AM2" s="1967"/>
      <c r="AN2" s="1967"/>
      <c r="AO2" s="1967"/>
      <c r="AP2" s="1967"/>
      <c r="AQ2" s="1967"/>
      <c r="AR2" s="1967"/>
      <c r="AS2" s="1967"/>
      <c r="AT2" s="1967"/>
      <c r="AU2" s="1967"/>
      <c r="AV2" s="1967"/>
      <c r="AW2" s="1967"/>
      <c r="AX2" s="1967"/>
      <c r="AY2" s="1967"/>
      <c r="AZ2" s="1967"/>
      <c r="BA2" s="1967"/>
      <c r="BB2" s="1967"/>
      <c r="BC2" s="1967"/>
      <c r="BD2" s="1967"/>
      <c r="BE2" s="1967"/>
      <c r="BF2" s="1967"/>
      <c r="BG2" s="1967"/>
      <c r="BH2" s="1967"/>
      <c r="BI2" s="1967"/>
      <c r="BJ2" s="1967"/>
      <c r="BK2" s="1967"/>
      <c r="BL2" s="1967"/>
      <c r="BM2" s="1967"/>
      <c r="BN2" s="1967"/>
      <c r="BO2" s="1967"/>
      <c r="BP2" s="1967"/>
      <c r="BQ2" s="1967"/>
      <c r="BR2" s="1967"/>
      <c r="BS2" s="1967"/>
      <c r="BT2" s="1967"/>
      <c r="BU2" s="1967"/>
      <c r="BV2" s="1967"/>
      <c r="BW2" s="1967"/>
      <c r="BX2" s="1967"/>
      <c r="BY2" s="1967"/>
      <c r="BZ2" s="1967"/>
      <c r="CA2" s="1967"/>
      <c r="CB2" s="1967"/>
      <c r="CC2" s="1967"/>
      <c r="CD2" s="1967"/>
      <c r="CE2" s="1967"/>
      <c r="CF2" s="1967"/>
      <c r="CG2" s="1967"/>
      <c r="CH2" s="1967"/>
      <c r="CI2" s="1967"/>
      <c r="CJ2" s="1967"/>
      <c r="CK2" s="1967"/>
      <c r="CL2" s="1967"/>
      <c r="CM2" s="1967"/>
      <c r="CN2" s="1967"/>
      <c r="CO2" s="1967"/>
      <c r="CP2" s="1967"/>
      <c r="CQ2" s="1967"/>
      <c r="CR2" s="1967"/>
      <c r="CS2" s="1967"/>
      <c r="CT2" s="1967"/>
      <c r="CU2" s="1967"/>
      <c r="CV2" s="1967"/>
      <c r="CW2" s="1967"/>
      <c r="CX2" s="1967"/>
      <c r="CY2" s="1967"/>
      <c r="CZ2" s="57"/>
      <c r="DA2" s="57"/>
    </row>
    <row r="3" spans="1:105" ht="24" customHeight="1" thickBot="1">
      <c r="A3" s="2123" t="s">
        <v>14</v>
      </c>
      <c r="B3" s="2123" t="s">
        <v>187</v>
      </c>
      <c r="C3" s="2125"/>
      <c r="D3" s="2125"/>
      <c r="E3" s="2125"/>
      <c r="F3" s="2050" t="s">
        <v>188</v>
      </c>
      <c r="G3" s="2037"/>
      <c r="H3" s="2037"/>
      <c r="I3" s="2038"/>
      <c r="J3" s="2037" t="s">
        <v>189</v>
      </c>
      <c r="K3" s="2037"/>
      <c r="L3" s="2037"/>
      <c r="M3" s="2038"/>
      <c r="N3" s="2050" t="s">
        <v>190</v>
      </c>
      <c r="O3" s="2037"/>
      <c r="P3" s="2037"/>
      <c r="Q3" s="2038"/>
      <c r="R3" s="2037" t="s">
        <v>191</v>
      </c>
      <c r="S3" s="2037"/>
      <c r="T3" s="2037"/>
      <c r="U3" s="2038"/>
      <c r="V3" s="2050" t="s">
        <v>192</v>
      </c>
      <c r="W3" s="2037"/>
      <c r="X3" s="2037"/>
      <c r="Y3" s="2038"/>
      <c r="Z3" s="2037" t="s">
        <v>193</v>
      </c>
      <c r="AA3" s="2037"/>
      <c r="AB3" s="2037"/>
      <c r="AC3" s="2038"/>
      <c r="AD3" s="2050" t="s">
        <v>194</v>
      </c>
      <c r="AE3" s="2037"/>
      <c r="AF3" s="2037"/>
      <c r="AG3" s="2038"/>
      <c r="AH3" s="2037" t="s">
        <v>195</v>
      </c>
      <c r="AI3" s="2037"/>
      <c r="AJ3" s="2037"/>
      <c r="AK3" s="2038"/>
      <c r="AL3" s="2037" t="s">
        <v>196</v>
      </c>
      <c r="AM3" s="2037"/>
      <c r="AN3" s="2037"/>
      <c r="AO3" s="2038"/>
      <c r="AP3" s="2037" t="s">
        <v>197</v>
      </c>
      <c r="AQ3" s="2037"/>
      <c r="AR3" s="2037"/>
      <c r="AS3" s="2038"/>
      <c r="AT3" s="2037" t="s">
        <v>198</v>
      </c>
      <c r="AU3" s="2037"/>
      <c r="AV3" s="2037"/>
      <c r="AW3" s="2038"/>
      <c r="AX3" s="2126" t="s">
        <v>199</v>
      </c>
      <c r="AY3" s="1885"/>
      <c r="AZ3" s="1885"/>
      <c r="BA3" s="1886"/>
      <c r="BB3" s="2037" t="s">
        <v>200</v>
      </c>
      <c r="BC3" s="2037"/>
      <c r="BD3" s="2037"/>
      <c r="BE3" s="2038"/>
      <c r="BF3" s="2062" t="s">
        <v>201</v>
      </c>
      <c r="BG3" s="2062"/>
      <c r="BH3" s="2062"/>
      <c r="BI3" s="2063"/>
      <c r="BJ3" s="2037" t="s">
        <v>202</v>
      </c>
      <c r="BK3" s="2037"/>
      <c r="BL3" s="2037"/>
      <c r="BM3" s="2038"/>
      <c r="BN3" s="2037" t="s">
        <v>203</v>
      </c>
      <c r="BO3" s="2037"/>
      <c r="BP3" s="2037"/>
      <c r="BQ3" s="2038"/>
      <c r="BR3" s="2037" t="s">
        <v>204</v>
      </c>
      <c r="BS3" s="2037"/>
      <c r="BT3" s="2037"/>
      <c r="BU3" s="2038"/>
      <c r="BV3" s="2062" t="s">
        <v>205</v>
      </c>
      <c r="BW3" s="2062"/>
      <c r="BX3" s="2062"/>
      <c r="BY3" s="2063"/>
      <c r="BZ3" s="2037" t="s">
        <v>206</v>
      </c>
      <c r="CA3" s="2037"/>
      <c r="CB3" s="2037"/>
      <c r="CC3" s="2038"/>
      <c r="CD3" s="2120" t="s">
        <v>207</v>
      </c>
      <c r="CE3" s="1907"/>
      <c r="CF3" s="1907"/>
      <c r="CG3" s="1908"/>
      <c r="CH3" s="2120" t="s">
        <v>208</v>
      </c>
      <c r="CI3" s="1907"/>
      <c r="CJ3" s="1907"/>
      <c r="CK3" s="1908"/>
      <c r="CL3" s="2120" t="s">
        <v>209</v>
      </c>
      <c r="CM3" s="1907"/>
      <c r="CN3" s="1907"/>
      <c r="CO3" s="1908"/>
      <c r="CP3" s="2120" t="s">
        <v>1</v>
      </c>
      <c r="CQ3" s="1907"/>
      <c r="CR3" s="1907"/>
      <c r="CS3" s="1908"/>
      <c r="CT3" s="2121" t="s">
        <v>210</v>
      </c>
      <c r="CU3" s="1905"/>
      <c r="CV3" s="1905"/>
      <c r="CW3" s="1906"/>
      <c r="CX3" s="1905" t="s">
        <v>2</v>
      </c>
      <c r="CY3" s="1905"/>
      <c r="CZ3" s="1905"/>
      <c r="DA3" s="1906"/>
    </row>
    <row r="4" spans="1:105" ht="15" thickBot="1">
      <c r="A4" s="2124"/>
      <c r="B4" s="811" t="s">
        <v>440</v>
      </c>
      <c r="C4" s="812" t="s">
        <v>441</v>
      </c>
      <c r="D4" s="812" t="s">
        <v>444</v>
      </c>
      <c r="E4" s="812" t="s">
        <v>445</v>
      </c>
      <c r="F4" s="811" t="s">
        <v>440</v>
      </c>
      <c r="G4" s="812" t="s">
        <v>441</v>
      </c>
      <c r="H4" s="812" t="s">
        <v>444</v>
      </c>
      <c r="I4" s="813" t="s">
        <v>445</v>
      </c>
      <c r="J4" s="812" t="s">
        <v>440</v>
      </c>
      <c r="K4" s="812" t="s">
        <v>441</v>
      </c>
      <c r="L4" s="812" t="s">
        <v>444</v>
      </c>
      <c r="M4" s="813" t="s">
        <v>445</v>
      </c>
      <c r="N4" s="811" t="s">
        <v>440</v>
      </c>
      <c r="O4" s="812" t="s">
        <v>441</v>
      </c>
      <c r="P4" s="812" t="s">
        <v>444</v>
      </c>
      <c r="Q4" s="813" t="s">
        <v>445</v>
      </c>
      <c r="R4" s="812" t="s">
        <v>440</v>
      </c>
      <c r="S4" s="812" t="s">
        <v>441</v>
      </c>
      <c r="T4" s="812" t="s">
        <v>444</v>
      </c>
      <c r="U4" s="813" t="s">
        <v>445</v>
      </c>
      <c r="V4" s="811" t="s">
        <v>440</v>
      </c>
      <c r="W4" s="812" t="s">
        <v>441</v>
      </c>
      <c r="X4" s="812" t="s">
        <v>444</v>
      </c>
      <c r="Y4" s="813" t="s">
        <v>445</v>
      </c>
      <c r="Z4" s="812" t="s">
        <v>440</v>
      </c>
      <c r="AA4" s="812" t="s">
        <v>441</v>
      </c>
      <c r="AB4" s="812" t="s">
        <v>444</v>
      </c>
      <c r="AC4" s="813" t="s">
        <v>445</v>
      </c>
      <c r="AD4" s="811" t="s">
        <v>440</v>
      </c>
      <c r="AE4" s="812" t="s">
        <v>441</v>
      </c>
      <c r="AF4" s="812" t="s">
        <v>444</v>
      </c>
      <c r="AG4" s="813" t="s">
        <v>445</v>
      </c>
      <c r="AH4" s="812" t="s">
        <v>440</v>
      </c>
      <c r="AI4" s="812" t="s">
        <v>441</v>
      </c>
      <c r="AJ4" s="812" t="s">
        <v>444</v>
      </c>
      <c r="AK4" s="813" t="s">
        <v>445</v>
      </c>
      <c r="AL4" s="812" t="s">
        <v>440</v>
      </c>
      <c r="AM4" s="812" t="s">
        <v>441</v>
      </c>
      <c r="AN4" s="812" t="s">
        <v>444</v>
      </c>
      <c r="AO4" s="813" t="s">
        <v>445</v>
      </c>
      <c r="AP4" s="812" t="s">
        <v>440</v>
      </c>
      <c r="AQ4" s="812" t="s">
        <v>441</v>
      </c>
      <c r="AR4" s="812" t="s">
        <v>444</v>
      </c>
      <c r="AS4" s="813" t="s">
        <v>445</v>
      </c>
      <c r="AT4" s="812" t="s">
        <v>440</v>
      </c>
      <c r="AU4" s="812" t="s">
        <v>441</v>
      </c>
      <c r="AV4" s="812" t="s">
        <v>444</v>
      </c>
      <c r="AW4" s="813" t="s">
        <v>445</v>
      </c>
      <c r="AX4" s="811" t="s">
        <v>440</v>
      </c>
      <c r="AY4" s="812" t="s">
        <v>441</v>
      </c>
      <c r="AZ4" s="812" t="s">
        <v>444</v>
      </c>
      <c r="BA4" s="813" t="s">
        <v>445</v>
      </c>
      <c r="BB4" s="812" t="s">
        <v>440</v>
      </c>
      <c r="BC4" s="812" t="s">
        <v>441</v>
      </c>
      <c r="BD4" s="812" t="s">
        <v>444</v>
      </c>
      <c r="BE4" s="813" t="s">
        <v>445</v>
      </c>
      <c r="BF4" s="812" t="s">
        <v>440</v>
      </c>
      <c r="BG4" s="812" t="s">
        <v>441</v>
      </c>
      <c r="BH4" s="812" t="s">
        <v>444</v>
      </c>
      <c r="BI4" s="813" t="s">
        <v>445</v>
      </c>
      <c r="BJ4" s="812" t="s">
        <v>440</v>
      </c>
      <c r="BK4" s="812" t="s">
        <v>441</v>
      </c>
      <c r="BL4" s="812" t="s">
        <v>444</v>
      </c>
      <c r="BM4" s="813" t="s">
        <v>445</v>
      </c>
      <c r="BN4" s="812" t="s">
        <v>440</v>
      </c>
      <c r="BO4" s="812" t="s">
        <v>441</v>
      </c>
      <c r="BP4" s="812" t="s">
        <v>444</v>
      </c>
      <c r="BQ4" s="813" t="s">
        <v>445</v>
      </c>
      <c r="BR4" s="811" t="s">
        <v>440</v>
      </c>
      <c r="BS4" s="812" t="s">
        <v>441</v>
      </c>
      <c r="BT4" s="812" t="s">
        <v>444</v>
      </c>
      <c r="BU4" s="813" t="s">
        <v>445</v>
      </c>
      <c r="BV4" s="811" t="s">
        <v>440</v>
      </c>
      <c r="BW4" s="812" t="s">
        <v>441</v>
      </c>
      <c r="BX4" s="812" t="s">
        <v>444</v>
      </c>
      <c r="BY4" s="813" t="s">
        <v>445</v>
      </c>
      <c r="BZ4" s="811" t="s">
        <v>440</v>
      </c>
      <c r="CA4" s="812" t="s">
        <v>441</v>
      </c>
      <c r="CB4" s="812" t="s">
        <v>444</v>
      </c>
      <c r="CC4" s="813" t="s">
        <v>445</v>
      </c>
      <c r="CD4" s="811" t="s">
        <v>440</v>
      </c>
      <c r="CE4" s="812" t="s">
        <v>441</v>
      </c>
      <c r="CF4" s="812" t="s">
        <v>444</v>
      </c>
      <c r="CG4" s="813" t="s">
        <v>445</v>
      </c>
      <c r="CH4" s="811" t="s">
        <v>440</v>
      </c>
      <c r="CI4" s="812" t="s">
        <v>441</v>
      </c>
      <c r="CJ4" s="812" t="s">
        <v>444</v>
      </c>
      <c r="CK4" s="813" t="s">
        <v>445</v>
      </c>
      <c r="CL4" s="811" t="s">
        <v>440</v>
      </c>
      <c r="CM4" s="812" t="s">
        <v>441</v>
      </c>
      <c r="CN4" s="812" t="s">
        <v>444</v>
      </c>
      <c r="CO4" s="813" t="s">
        <v>445</v>
      </c>
      <c r="CP4" s="811" t="s">
        <v>440</v>
      </c>
      <c r="CQ4" s="812" t="s">
        <v>441</v>
      </c>
      <c r="CR4" s="812" t="s">
        <v>444</v>
      </c>
      <c r="CS4" s="813" t="s">
        <v>445</v>
      </c>
      <c r="CT4" s="811" t="s">
        <v>440</v>
      </c>
      <c r="CU4" s="812" t="s">
        <v>441</v>
      </c>
      <c r="CV4" s="812" t="s">
        <v>444</v>
      </c>
      <c r="CW4" s="813" t="s">
        <v>445</v>
      </c>
      <c r="CX4" s="811" t="s">
        <v>440</v>
      </c>
      <c r="CY4" s="812" t="s">
        <v>441</v>
      </c>
      <c r="CZ4" s="812" t="s">
        <v>444</v>
      </c>
      <c r="DA4" s="813" t="s">
        <v>445</v>
      </c>
    </row>
    <row r="5" spans="1:106" ht="15.75" thickBot="1">
      <c r="A5" s="58" t="s">
        <v>3</v>
      </c>
      <c r="B5" s="59">
        <v>29223</v>
      </c>
      <c r="C5" s="60">
        <v>34204</v>
      </c>
      <c r="D5" s="60">
        <f>B5</f>
        <v>29223</v>
      </c>
      <c r="E5" s="1526">
        <f>C5</f>
        <v>34204</v>
      </c>
      <c r="F5" s="64">
        <v>1</v>
      </c>
      <c r="G5" s="62">
        <v>-4</v>
      </c>
      <c r="H5" s="62">
        <f>F5</f>
        <v>1</v>
      </c>
      <c r="I5" s="63">
        <f>G5</f>
        <v>-4</v>
      </c>
      <c r="J5" s="61">
        <v>1319</v>
      </c>
      <c r="K5" s="62">
        <v>2336</v>
      </c>
      <c r="L5" s="62">
        <f>J5</f>
        <v>1319</v>
      </c>
      <c r="M5" s="63">
        <f>K5</f>
        <v>2336</v>
      </c>
      <c r="N5" s="64">
        <v>22969</v>
      </c>
      <c r="O5" s="62">
        <v>35135</v>
      </c>
      <c r="P5" s="62">
        <f>N5</f>
        <v>22969</v>
      </c>
      <c r="Q5" s="63">
        <f>O5</f>
        <v>35135</v>
      </c>
      <c r="R5" s="61">
        <v>13117</v>
      </c>
      <c r="S5" s="62">
        <v>13132</v>
      </c>
      <c r="T5" s="62">
        <f>R5</f>
        <v>13117</v>
      </c>
      <c r="U5" s="63">
        <f>S5</f>
        <v>13132</v>
      </c>
      <c r="V5" s="664"/>
      <c r="W5" s="55"/>
      <c r="X5" s="55"/>
      <c r="Y5" s="66"/>
      <c r="Z5" s="61">
        <v>3112</v>
      </c>
      <c r="AA5" s="62">
        <v>5047</v>
      </c>
      <c r="AB5" s="62">
        <f>Z5</f>
        <v>3112</v>
      </c>
      <c r="AC5" s="63">
        <f>AA5</f>
        <v>5047</v>
      </c>
      <c r="AD5" s="64">
        <v>7234</v>
      </c>
      <c r="AE5" s="62">
        <v>6934</v>
      </c>
      <c r="AF5" s="62">
        <f>AD5</f>
        <v>7234</v>
      </c>
      <c r="AG5" s="63">
        <f>AE5</f>
        <v>6934</v>
      </c>
      <c r="AH5" s="61">
        <v>15513</v>
      </c>
      <c r="AI5" s="62">
        <v>17577</v>
      </c>
      <c r="AJ5" s="62">
        <f>AH5</f>
        <v>15513</v>
      </c>
      <c r="AK5" s="63">
        <f>AI5</f>
        <v>17577</v>
      </c>
      <c r="AL5" s="61">
        <v>1207</v>
      </c>
      <c r="AM5" s="62">
        <v>2311</v>
      </c>
      <c r="AN5" s="62">
        <f>AL5</f>
        <v>1207</v>
      </c>
      <c r="AO5" s="63">
        <f>AM5</f>
        <v>2311</v>
      </c>
      <c r="AP5" s="61">
        <v>32296</v>
      </c>
      <c r="AQ5" s="62">
        <v>25821</v>
      </c>
      <c r="AR5" s="62">
        <f>AP5</f>
        <v>32296</v>
      </c>
      <c r="AS5" s="63">
        <f>AQ5</f>
        <v>25821</v>
      </c>
      <c r="AT5" s="61">
        <v>34757</v>
      </c>
      <c r="AU5" s="62">
        <v>34142</v>
      </c>
      <c r="AV5" s="62">
        <f>AT5</f>
        <v>34757</v>
      </c>
      <c r="AW5" s="63">
        <f>AU5</f>
        <v>34142</v>
      </c>
      <c r="AX5" s="67">
        <v>1750</v>
      </c>
      <c r="AY5" s="54">
        <v>2651</v>
      </c>
      <c r="AZ5" s="54">
        <f>AX5</f>
        <v>1750</v>
      </c>
      <c r="BA5" s="68">
        <f>AY5</f>
        <v>2651</v>
      </c>
      <c r="BB5" s="61">
        <v>1597</v>
      </c>
      <c r="BC5" s="62">
        <v>1167</v>
      </c>
      <c r="BD5" s="62">
        <f>BB5</f>
        <v>1597</v>
      </c>
      <c r="BE5" s="63">
        <f>BC5</f>
        <v>1167</v>
      </c>
      <c r="BF5" s="61">
        <v>25830</v>
      </c>
      <c r="BG5" s="62">
        <v>24202</v>
      </c>
      <c r="BH5" s="62">
        <f>BF5</f>
        <v>25830</v>
      </c>
      <c r="BI5" s="63">
        <f>BG5</f>
        <v>24202</v>
      </c>
      <c r="BJ5" s="61">
        <v>28520</v>
      </c>
      <c r="BK5" s="62">
        <v>27505</v>
      </c>
      <c r="BL5" s="62">
        <f>BJ5</f>
        <v>28520</v>
      </c>
      <c r="BM5" s="63">
        <f>BK5</f>
        <v>27505</v>
      </c>
      <c r="BN5" s="61">
        <v>1640</v>
      </c>
      <c r="BO5" s="62">
        <v>1810</v>
      </c>
      <c r="BP5" s="62">
        <f>BN5</f>
        <v>1640</v>
      </c>
      <c r="BQ5" s="62">
        <f>BO5</f>
        <v>1810</v>
      </c>
      <c r="BR5" s="257">
        <v>28174</v>
      </c>
      <c r="BS5" s="258">
        <v>27357</v>
      </c>
      <c r="BT5" s="258">
        <f>BR5</f>
        <v>28174</v>
      </c>
      <c r="BU5" s="259">
        <f>BS5</f>
        <v>27357</v>
      </c>
      <c r="BV5" s="598"/>
      <c r="BW5" s="417"/>
      <c r="BX5" s="417"/>
      <c r="BY5" s="418"/>
      <c r="BZ5" s="596">
        <v>106274</v>
      </c>
      <c r="CA5" s="595">
        <v>83096</v>
      </c>
      <c r="CB5" s="595">
        <f>BZ5</f>
        <v>106274</v>
      </c>
      <c r="CC5" s="595">
        <f>CA5</f>
        <v>83096</v>
      </c>
      <c r="CD5" s="69">
        <v>1076</v>
      </c>
      <c r="CE5" s="70">
        <v>1352</v>
      </c>
      <c r="CF5" s="70">
        <f>CD5</f>
        <v>1076</v>
      </c>
      <c r="CG5" s="70">
        <f>CE5</f>
        <v>1352</v>
      </c>
      <c r="CH5" s="71">
        <v>33</v>
      </c>
      <c r="CI5" s="72">
        <v>108</v>
      </c>
      <c r="CJ5" s="72">
        <f>CH5</f>
        <v>33</v>
      </c>
      <c r="CK5" s="72">
        <f>CI5</f>
        <v>108</v>
      </c>
      <c r="CL5" s="64">
        <v>25085</v>
      </c>
      <c r="CM5" s="62">
        <v>19856</v>
      </c>
      <c r="CN5" s="62">
        <f>CL5</f>
        <v>25085</v>
      </c>
      <c r="CO5" s="62">
        <f>CM5</f>
        <v>19856</v>
      </c>
      <c r="CP5" s="591">
        <f>SUM(B5+F5+J5+N5+R5+V5+Z5+AD5+AH5+AL5+AP5+AT5+AX5+BB5+BF5+BJ5+BN5+BR5+BV5+BZ5+CD5+CH5+CL5)</f>
        <v>380727</v>
      </c>
      <c r="CQ5" s="591">
        <f>SUM(C5+G5+K5+O5+S5+W5+AA5+AE5+AI5+AM5+AQ5+AU5+AY5+BC5+BG5+BK5+BO5+BS5+BW5+CA5+CE5+CI5+CM5)</f>
        <v>365739</v>
      </c>
      <c r="CR5" s="591">
        <f>SUM(D5+H5+L5+P5+T5+X5+AB5+AF5+AJ5+AN5+AR5+AV5+AZ5+BD5+BH5+BL5+BP5+BT5+BX5+CB5+CF5+CJ5+CN5)</f>
        <v>380727</v>
      </c>
      <c r="CS5" s="591">
        <f>SUM(E5+I5+M5+Q5+U5+Y5+AC5+AG5+AK5+AO5+AS5+AW5+BA5+BE5+BI5+BM5+BQ5+BU5+BY5+CC5+CG5+CK5+CO5)</f>
        <v>365739</v>
      </c>
      <c r="CT5" s="592">
        <v>3279036</v>
      </c>
      <c r="CU5" s="72">
        <v>3437526</v>
      </c>
      <c r="CV5" s="72">
        <f>CT5</f>
        <v>3279036</v>
      </c>
      <c r="CW5" s="72">
        <f>CU5</f>
        <v>3437526</v>
      </c>
      <c r="CX5" s="73">
        <f>CP5+CT5</f>
        <v>3659763</v>
      </c>
      <c r="CY5" s="73">
        <f aca="true" t="shared" si="0" ref="CY5:DA18">CQ5+CU5</f>
        <v>3803265</v>
      </c>
      <c r="CZ5" s="73">
        <f t="shared" si="0"/>
        <v>3659763</v>
      </c>
      <c r="DA5" s="74">
        <f t="shared" si="0"/>
        <v>3803265</v>
      </c>
      <c r="DB5" s="75"/>
    </row>
    <row r="6" spans="1:105" ht="15.75" thickBot="1">
      <c r="A6" s="58" t="s">
        <v>4</v>
      </c>
      <c r="B6" s="76">
        <v>18018</v>
      </c>
      <c r="C6" s="15">
        <v>7905</v>
      </c>
      <c r="D6" s="60">
        <f aca="true" t="shared" si="1" ref="D6:D11">B6</f>
        <v>18018</v>
      </c>
      <c r="E6" s="1526">
        <f aca="true" t="shared" si="2" ref="E6:E11">C6</f>
        <v>7905</v>
      </c>
      <c r="F6" s="25">
        <v>19</v>
      </c>
      <c r="G6" s="24">
        <v>234</v>
      </c>
      <c r="H6" s="62">
        <f aca="true" t="shared" si="3" ref="H6:H11">F6</f>
        <v>19</v>
      </c>
      <c r="I6" s="63">
        <f aca="true" t="shared" si="4" ref="I6:I11">G6</f>
        <v>234</v>
      </c>
      <c r="J6" s="27">
        <v>527</v>
      </c>
      <c r="K6" s="24">
        <v>785</v>
      </c>
      <c r="L6" s="62">
        <f aca="true" t="shared" si="5" ref="L6:L11">J6</f>
        <v>527</v>
      </c>
      <c r="M6" s="63">
        <f aca="true" t="shared" si="6" ref="M6:M11">K6</f>
        <v>785</v>
      </c>
      <c r="N6" s="25">
        <v>13055</v>
      </c>
      <c r="O6" s="24">
        <v>8371</v>
      </c>
      <c r="P6" s="62">
        <f aca="true" t="shared" si="7" ref="P6:P14">N6</f>
        <v>13055</v>
      </c>
      <c r="Q6" s="63">
        <f aca="true" t="shared" si="8" ref="Q6:Q14">O6</f>
        <v>8371</v>
      </c>
      <c r="R6" s="27">
        <v>28898</v>
      </c>
      <c r="S6" s="24">
        <v>15</v>
      </c>
      <c r="T6" s="62">
        <f aca="true" t="shared" si="9" ref="T6:T11">R6</f>
        <v>28898</v>
      </c>
      <c r="U6" s="63">
        <f aca="true" t="shared" si="10" ref="U6:U11">S6</f>
        <v>15</v>
      </c>
      <c r="V6" s="25">
        <v>22382</v>
      </c>
      <c r="W6" s="24">
        <v>16100</v>
      </c>
      <c r="X6" s="24">
        <f aca="true" t="shared" si="11" ref="X6:Y11">V6</f>
        <v>22382</v>
      </c>
      <c r="Y6" s="28">
        <f t="shared" si="11"/>
        <v>16100</v>
      </c>
      <c r="Z6" s="27">
        <v>619</v>
      </c>
      <c r="AA6" s="24">
        <v>693</v>
      </c>
      <c r="AB6" s="62">
        <f aca="true" t="shared" si="12" ref="AB6:AB11">Z6</f>
        <v>619</v>
      </c>
      <c r="AC6" s="63">
        <f aca="true" t="shared" si="13" ref="AC6:AC11">AA6</f>
        <v>693</v>
      </c>
      <c r="AD6" s="25">
        <v>1182</v>
      </c>
      <c r="AE6" s="24">
        <v>819</v>
      </c>
      <c r="AF6" s="62">
        <f aca="true" t="shared" si="14" ref="AF6:AF11">AD6</f>
        <v>1182</v>
      </c>
      <c r="AG6" s="63">
        <f aca="true" t="shared" si="15" ref="AG6:AG11">AE6</f>
        <v>819</v>
      </c>
      <c r="AH6" s="27">
        <v>2927</v>
      </c>
      <c r="AI6" s="24">
        <v>2905</v>
      </c>
      <c r="AJ6" s="62">
        <f aca="true" t="shared" si="16" ref="AJ6:AJ13">AH6</f>
        <v>2927</v>
      </c>
      <c r="AK6" s="63">
        <f aca="true" t="shared" si="17" ref="AK6:AK13">AI6</f>
        <v>2905</v>
      </c>
      <c r="AL6" s="27">
        <v>3085</v>
      </c>
      <c r="AM6" s="24">
        <v>2686</v>
      </c>
      <c r="AN6" s="62">
        <f aca="true" t="shared" si="18" ref="AN6:AN11">AL6</f>
        <v>3085</v>
      </c>
      <c r="AO6" s="63">
        <f aca="true" t="shared" si="19" ref="AO6:AO11">AM6</f>
        <v>2686</v>
      </c>
      <c r="AP6" s="27">
        <v>76644</v>
      </c>
      <c r="AQ6" s="24">
        <v>84682</v>
      </c>
      <c r="AR6" s="62">
        <f aca="true" t="shared" si="20" ref="AR6:AR15">AP6</f>
        <v>76644</v>
      </c>
      <c r="AS6" s="63">
        <f aca="true" t="shared" si="21" ref="AS6:AS15">AQ6</f>
        <v>84682</v>
      </c>
      <c r="AT6" s="27">
        <v>81008</v>
      </c>
      <c r="AU6" s="24">
        <v>79922</v>
      </c>
      <c r="AV6" s="62">
        <f aca="true" t="shared" si="22" ref="AV6:AV15">AT6</f>
        <v>81008</v>
      </c>
      <c r="AW6" s="63">
        <f aca="true" t="shared" si="23" ref="AW6:AW15">AU6</f>
        <v>79922</v>
      </c>
      <c r="AX6" s="78">
        <v>9517</v>
      </c>
      <c r="AY6" s="30">
        <v>13774</v>
      </c>
      <c r="AZ6" s="54">
        <f aca="true" t="shared" si="24" ref="AZ6:AZ15">AX6</f>
        <v>9517</v>
      </c>
      <c r="BA6" s="68">
        <f aca="true" t="shared" si="25" ref="BA6:BA15">AY6</f>
        <v>13774</v>
      </c>
      <c r="BB6" s="27">
        <v>21766</v>
      </c>
      <c r="BC6" s="24">
        <v>19356</v>
      </c>
      <c r="BD6" s="62">
        <f aca="true" t="shared" si="26" ref="BD6:BD15">BB6</f>
        <v>21766</v>
      </c>
      <c r="BE6" s="63">
        <f aca="true" t="shared" si="27" ref="BE6:BE15">BC6</f>
        <v>19356</v>
      </c>
      <c r="BF6" s="27">
        <v>9688</v>
      </c>
      <c r="BG6" s="24">
        <v>9485</v>
      </c>
      <c r="BH6" s="62">
        <f aca="true" t="shared" si="28" ref="BH6:BH15">BF6</f>
        <v>9688</v>
      </c>
      <c r="BI6" s="63">
        <f aca="true" t="shared" si="29" ref="BI6:BI15">BG6</f>
        <v>9485</v>
      </c>
      <c r="BJ6" s="27">
        <v>58528</v>
      </c>
      <c r="BK6" s="24">
        <v>54749</v>
      </c>
      <c r="BL6" s="62">
        <f aca="true" t="shared" si="30" ref="BL6:BL15">BJ6</f>
        <v>58528</v>
      </c>
      <c r="BM6" s="63">
        <f aca="true" t="shared" si="31" ref="BM6:BM15">BK6</f>
        <v>54749</v>
      </c>
      <c r="BN6" s="27">
        <v>26460</v>
      </c>
      <c r="BO6" s="24">
        <v>25634</v>
      </c>
      <c r="BP6" s="62">
        <f aca="true" t="shared" si="32" ref="BP6:BP15">BN6</f>
        <v>26460</v>
      </c>
      <c r="BQ6" s="62">
        <f aca="true" t="shared" si="33" ref="BQ6:BQ15">BO6</f>
        <v>25634</v>
      </c>
      <c r="BR6" s="257">
        <v>1301</v>
      </c>
      <c r="BS6" s="258">
        <v>1273</v>
      </c>
      <c r="BT6" s="258">
        <f aca="true" t="shared" si="34" ref="BT6:BT15">BR6</f>
        <v>1301</v>
      </c>
      <c r="BU6" s="259">
        <f aca="true" t="shared" si="35" ref="BU6:BU15">BS6</f>
        <v>1273</v>
      </c>
      <c r="BV6" s="599"/>
      <c r="BW6" s="3"/>
      <c r="BX6" s="3"/>
      <c r="BY6" s="4"/>
      <c r="BZ6" s="21">
        <v>181588</v>
      </c>
      <c r="CA6" s="22">
        <v>140286</v>
      </c>
      <c r="CB6" s="595">
        <f aca="true" t="shared" si="36" ref="CB6:CB15">BZ6</f>
        <v>181588</v>
      </c>
      <c r="CC6" s="595">
        <f aca="true" t="shared" si="37" ref="CC6:CC15">CA6</f>
        <v>140286</v>
      </c>
      <c r="CD6" s="33">
        <v>139</v>
      </c>
      <c r="CE6" s="34">
        <v>107</v>
      </c>
      <c r="CF6" s="70">
        <f aca="true" t="shared" si="38" ref="CF6:CF15">CD6</f>
        <v>139</v>
      </c>
      <c r="CG6" s="70">
        <f aca="true" t="shared" si="39" ref="CG6:CG15">CE6</f>
        <v>107</v>
      </c>
      <c r="CH6" s="36">
        <v>12627</v>
      </c>
      <c r="CI6" s="37">
        <v>14231</v>
      </c>
      <c r="CJ6" s="72">
        <f aca="true" t="shared" si="40" ref="CJ6:CJ15">CH6</f>
        <v>12627</v>
      </c>
      <c r="CK6" s="72">
        <f aca="true" t="shared" si="41" ref="CK6:CK15">CI6</f>
        <v>14231</v>
      </c>
      <c r="CL6" s="25">
        <v>25086</v>
      </c>
      <c r="CM6" s="24">
        <v>13147</v>
      </c>
      <c r="CN6" s="62">
        <f aca="true" t="shared" si="42" ref="CN6:CN15">CL6</f>
        <v>25086</v>
      </c>
      <c r="CO6" s="62">
        <f aca="true" t="shared" si="43" ref="CO6:CO15">CM6</f>
        <v>13147</v>
      </c>
      <c r="CP6" s="591">
        <f aca="true" t="shared" si="44" ref="CP6:CP15">SUM(B6+F6+J6+N6+R6+V6+Z6+AD6+AH6+AL6+AP6+AT6+AX6+BB6+BF6+BJ6+BN6+BR6+BV6+BZ6+CD6+CH6+CL6)</f>
        <v>595064</v>
      </c>
      <c r="CQ6" s="591">
        <f aca="true" t="shared" si="45" ref="CQ6:CQ15">SUM(C6+G6+K6+O6+S6+W6+AA6+AE6+AI6+AM6+AQ6+AU6+AY6+BC6+BG6+BK6+BO6+BS6+BW6+CA6+CE6+CI6+CM6)</f>
        <v>497159</v>
      </c>
      <c r="CR6" s="591">
        <f aca="true" t="shared" si="46" ref="CR6:CR15">SUM(D6+H6+L6+P6+T6+X6+AB6+AF6+AJ6+AN6+AR6+AV6+AZ6+BD6+BH6+BL6+BP6+BT6+BX6+CB6+CF6+CJ6+CN6)</f>
        <v>595064</v>
      </c>
      <c r="CS6" s="591">
        <f aca="true" t="shared" si="47" ref="CS6:CS15">SUM(E6+I6+M6+Q6+U6+Y6+AC6+AG6+AK6+AO6+AS6+AW6+BA6+BE6+BI6+BM6+BQ6+BU6+BY6+CC6+CG6+CK6+CO6)</f>
        <v>497159</v>
      </c>
      <c r="CT6" s="306">
        <v>35699</v>
      </c>
      <c r="CU6" s="37">
        <v>23709</v>
      </c>
      <c r="CV6" s="72">
        <f aca="true" t="shared" si="48" ref="CV6:CV15">CT6</f>
        <v>35699</v>
      </c>
      <c r="CW6" s="72">
        <f aca="true" t="shared" si="49" ref="CW6:CW15">CU6</f>
        <v>23709</v>
      </c>
      <c r="CX6" s="73">
        <f aca="true" t="shared" si="50" ref="CX6:CX18">CP6+CT6</f>
        <v>630763</v>
      </c>
      <c r="CY6" s="73">
        <f t="shared" si="0"/>
        <v>520868</v>
      </c>
      <c r="CZ6" s="73">
        <f t="shared" si="0"/>
        <v>630763</v>
      </c>
      <c r="DA6" s="74">
        <f t="shared" si="0"/>
        <v>520868</v>
      </c>
    </row>
    <row r="7" spans="1:105" ht="15.75" thickBot="1">
      <c r="A7" s="58" t="s">
        <v>5</v>
      </c>
      <c r="B7" s="76">
        <v>-3</v>
      </c>
      <c r="C7" s="15">
        <v>192</v>
      </c>
      <c r="D7" s="60">
        <f t="shared" si="1"/>
        <v>-3</v>
      </c>
      <c r="E7" s="1526">
        <f t="shared" si="2"/>
        <v>192</v>
      </c>
      <c r="F7" s="25">
        <v>94</v>
      </c>
      <c r="G7" s="24">
        <v>76</v>
      </c>
      <c r="H7" s="62">
        <f t="shared" si="3"/>
        <v>94</v>
      </c>
      <c r="I7" s="63">
        <f t="shared" si="4"/>
        <v>76</v>
      </c>
      <c r="J7" s="27">
        <v>330</v>
      </c>
      <c r="K7" s="24">
        <v>261</v>
      </c>
      <c r="L7" s="62">
        <f t="shared" si="5"/>
        <v>330</v>
      </c>
      <c r="M7" s="63">
        <f t="shared" si="6"/>
        <v>261</v>
      </c>
      <c r="N7" s="25">
        <v>8039</v>
      </c>
      <c r="O7" s="24">
        <v>3975</v>
      </c>
      <c r="P7" s="62">
        <f t="shared" si="7"/>
        <v>8039</v>
      </c>
      <c r="Q7" s="63">
        <f t="shared" si="8"/>
        <v>3975</v>
      </c>
      <c r="R7" s="27">
        <v>2747</v>
      </c>
      <c r="S7" s="24">
        <v>3767</v>
      </c>
      <c r="T7" s="62">
        <f t="shared" si="9"/>
        <v>2747</v>
      </c>
      <c r="U7" s="63">
        <f t="shared" si="10"/>
        <v>3767</v>
      </c>
      <c r="V7" s="25">
        <v>107</v>
      </c>
      <c r="W7" s="24">
        <v>46</v>
      </c>
      <c r="X7" s="24">
        <f t="shared" si="11"/>
        <v>107</v>
      </c>
      <c r="Y7" s="28">
        <f t="shared" si="11"/>
        <v>46</v>
      </c>
      <c r="Z7" s="27">
        <v>502</v>
      </c>
      <c r="AA7" s="24">
        <v>5461</v>
      </c>
      <c r="AB7" s="62">
        <f t="shared" si="12"/>
        <v>502</v>
      </c>
      <c r="AC7" s="63">
        <f t="shared" si="13"/>
        <v>5461</v>
      </c>
      <c r="AD7" s="25">
        <v>883</v>
      </c>
      <c r="AE7" s="24">
        <v>791</v>
      </c>
      <c r="AF7" s="62">
        <f t="shared" si="14"/>
        <v>883</v>
      </c>
      <c r="AG7" s="63">
        <f t="shared" si="15"/>
        <v>791</v>
      </c>
      <c r="AH7" s="27">
        <v>2840</v>
      </c>
      <c r="AI7" s="24">
        <v>2680</v>
      </c>
      <c r="AJ7" s="62">
        <f t="shared" si="16"/>
        <v>2840</v>
      </c>
      <c r="AK7" s="63">
        <f t="shared" si="17"/>
        <v>2680</v>
      </c>
      <c r="AL7" s="27">
        <v>1234</v>
      </c>
      <c r="AM7" s="24">
        <v>1192</v>
      </c>
      <c r="AN7" s="62">
        <f t="shared" si="18"/>
        <v>1234</v>
      </c>
      <c r="AO7" s="63">
        <f t="shared" si="19"/>
        <v>1192</v>
      </c>
      <c r="AP7" s="27">
        <v>13549</v>
      </c>
      <c r="AQ7" s="24">
        <v>19313</v>
      </c>
      <c r="AR7" s="62">
        <f t="shared" si="20"/>
        <v>13549</v>
      </c>
      <c r="AS7" s="63">
        <f t="shared" si="21"/>
        <v>19313</v>
      </c>
      <c r="AT7" s="27">
        <v>4747</v>
      </c>
      <c r="AU7" s="24">
        <v>9797</v>
      </c>
      <c r="AV7" s="62">
        <f t="shared" si="22"/>
        <v>4747</v>
      </c>
      <c r="AW7" s="63">
        <f t="shared" si="23"/>
        <v>9797</v>
      </c>
      <c r="AX7" s="78"/>
      <c r="AY7" s="30"/>
      <c r="AZ7" s="54">
        <f t="shared" si="24"/>
        <v>0</v>
      </c>
      <c r="BA7" s="68">
        <f t="shared" si="25"/>
        <v>0</v>
      </c>
      <c r="BB7" s="27">
        <v>1684</v>
      </c>
      <c r="BC7" s="24">
        <v>2900</v>
      </c>
      <c r="BD7" s="62">
        <f t="shared" si="26"/>
        <v>1684</v>
      </c>
      <c r="BE7" s="63">
        <f t="shared" si="27"/>
        <v>2900</v>
      </c>
      <c r="BF7" s="27">
        <v>106</v>
      </c>
      <c r="BG7" s="24">
        <v>70</v>
      </c>
      <c r="BH7" s="62">
        <f t="shared" si="28"/>
        <v>106</v>
      </c>
      <c r="BI7" s="63">
        <f t="shared" si="29"/>
        <v>70</v>
      </c>
      <c r="BJ7" s="27">
        <v>1779</v>
      </c>
      <c r="BK7" s="24">
        <v>2341</v>
      </c>
      <c r="BL7" s="62">
        <f t="shared" si="30"/>
        <v>1779</v>
      </c>
      <c r="BM7" s="63">
        <f t="shared" si="31"/>
        <v>2341</v>
      </c>
      <c r="BN7" s="27">
        <v>1</v>
      </c>
      <c r="BO7" s="24">
        <v>41</v>
      </c>
      <c r="BP7" s="62">
        <f t="shared" si="32"/>
        <v>1</v>
      </c>
      <c r="BQ7" s="62">
        <f t="shared" si="33"/>
        <v>41</v>
      </c>
      <c r="BR7" s="257">
        <v>4831</v>
      </c>
      <c r="BS7" s="258">
        <v>3393</v>
      </c>
      <c r="BT7" s="258">
        <f t="shared" si="34"/>
        <v>4831</v>
      </c>
      <c r="BU7" s="259">
        <f t="shared" si="35"/>
        <v>3393</v>
      </c>
      <c r="BV7" s="599"/>
      <c r="BW7" s="3"/>
      <c r="BX7" s="3"/>
      <c r="BY7" s="4"/>
      <c r="BZ7" s="21">
        <v>4509</v>
      </c>
      <c r="CA7" s="22">
        <v>2331</v>
      </c>
      <c r="CB7" s="595">
        <f t="shared" si="36"/>
        <v>4509</v>
      </c>
      <c r="CC7" s="595">
        <f t="shared" si="37"/>
        <v>2331</v>
      </c>
      <c r="CD7" s="33">
        <v>26672</v>
      </c>
      <c r="CE7" s="34">
        <v>41476</v>
      </c>
      <c r="CF7" s="70">
        <f t="shared" si="38"/>
        <v>26672</v>
      </c>
      <c r="CG7" s="70">
        <f t="shared" si="39"/>
        <v>41476</v>
      </c>
      <c r="CH7" s="36"/>
      <c r="CI7" s="37"/>
      <c r="CJ7" s="72">
        <f t="shared" si="40"/>
        <v>0</v>
      </c>
      <c r="CK7" s="72">
        <f t="shared" si="41"/>
        <v>0</v>
      </c>
      <c r="CL7" s="25">
        <v>718</v>
      </c>
      <c r="CM7" s="24">
        <v>650</v>
      </c>
      <c r="CN7" s="62">
        <f t="shared" si="42"/>
        <v>718</v>
      </c>
      <c r="CO7" s="62">
        <f t="shared" si="43"/>
        <v>650</v>
      </c>
      <c r="CP7" s="591">
        <f t="shared" si="44"/>
        <v>75369</v>
      </c>
      <c r="CQ7" s="591">
        <f t="shared" si="45"/>
        <v>100753</v>
      </c>
      <c r="CR7" s="591">
        <f t="shared" si="46"/>
        <v>75369</v>
      </c>
      <c r="CS7" s="591">
        <f t="shared" si="47"/>
        <v>100753</v>
      </c>
      <c r="CT7" s="306">
        <v>5951</v>
      </c>
      <c r="CU7" s="37">
        <v>6468</v>
      </c>
      <c r="CV7" s="72">
        <f t="shared" si="48"/>
        <v>5951</v>
      </c>
      <c r="CW7" s="72">
        <f t="shared" si="49"/>
        <v>6468</v>
      </c>
      <c r="CX7" s="73">
        <f t="shared" si="50"/>
        <v>81320</v>
      </c>
      <c r="CY7" s="73">
        <f t="shared" si="0"/>
        <v>107221</v>
      </c>
      <c r="CZ7" s="73">
        <f t="shared" si="0"/>
        <v>81320</v>
      </c>
      <c r="DA7" s="74">
        <f t="shared" si="0"/>
        <v>107221</v>
      </c>
    </row>
    <row r="8" spans="1:105" ht="15.75" thickBot="1">
      <c r="A8" s="58" t="s">
        <v>6</v>
      </c>
      <c r="B8" s="76">
        <v>451</v>
      </c>
      <c r="C8" s="15">
        <v>1081</v>
      </c>
      <c r="D8" s="60">
        <f t="shared" si="1"/>
        <v>451</v>
      </c>
      <c r="E8" s="1526">
        <f t="shared" si="2"/>
        <v>1081</v>
      </c>
      <c r="F8" s="25">
        <v>115</v>
      </c>
      <c r="G8" s="24">
        <v>183</v>
      </c>
      <c r="H8" s="62">
        <f t="shared" si="3"/>
        <v>115</v>
      </c>
      <c r="I8" s="63">
        <f t="shared" si="4"/>
        <v>183</v>
      </c>
      <c r="J8" s="27">
        <v>100</v>
      </c>
      <c r="K8" s="24">
        <v>808</v>
      </c>
      <c r="L8" s="62">
        <f t="shared" si="5"/>
        <v>100</v>
      </c>
      <c r="M8" s="63">
        <f t="shared" si="6"/>
        <v>808</v>
      </c>
      <c r="N8" s="25">
        <v>3256</v>
      </c>
      <c r="O8" s="24">
        <v>3189</v>
      </c>
      <c r="P8" s="62">
        <f t="shared" si="7"/>
        <v>3256</v>
      </c>
      <c r="Q8" s="63">
        <f t="shared" si="8"/>
        <v>3189</v>
      </c>
      <c r="R8" s="27">
        <v>9188</v>
      </c>
      <c r="S8" s="24">
        <v>7047</v>
      </c>
      <c r="T8" s="62">
        <f t="shared" si="9"/>
        <v>9188</v>
      </c>
      <c r="U8" s="63">
        <f t="shared" si="10"/>
        <v>7047</v>
      </c>
      <c r="V8" s="25"/>
      <c r="W8" s="24"/>
      <c r="X8" s="24">
        <f t="shared" si="11"/>
        <v>0</v>
      </c>
      <c r="Y8" s="28">
        <f t="shared" si="11"/>
        <v>0</v>
      </c>
      <c r="Z8" s="27">
        <v>-6</v>
      </c>
      <c r="AA8" s="24">
        <v>-10</v>
      </c>
      <c r="AB8" s="62">
        <f t="shared" si="12"/>
        <v>-6</v>
      </c>
      <c r="AC8" s="63">
        <f t="shared" si="13"/>
        <v>-10</v>
      </c>
      <c r="AD8" s="25">
        <v>250</v>
      </c>
      <c r="AE8" s="24">
        <v>302</v>
      </c>
      <c r="AF8" s="62">
        <f t="shared" si="14"/>
        <v>250</v>
      </c>
      <c r="AG8" s="63">
        <f t="shared" si="15"/>
        <v>302</v>
      </c>
      <c r="AH8" s="27">
        <v>13948</v>
      </c>
      <c r="AI8" s="24">
        <v>10606</v>
      </c>
      <c r="AJ8" s="62">
        <f t="shared" si="16"/>
        <v>13948</v>
      </c>
      <c r="AK8" s="63">
        <f t="shared" si="17"/>
        <v>10606</v>
      </c>
      <c r="AL8" s="27">
        <v>342</v>
      </c>
      <c r="AM8" s="24">
        <v>275</v>
      </c>
      <c r="AN8" s="62">
        <f t="shared" si="18"/>
        <v>342</v>
      </c>
      <c r="AO8" s="63">
        <f t="shared" si="19"/>
        <v>275</v>
      </c>
      <c r="AP8" s="27">
        <v>14031</v>
      </c>
      <c r="AQ8" s="24">
        <v>9124</v>
      </c>
      <c r="AR8" s="62">
        <f t="shared" si="20"/>
        <v>14031</v>
      </c>
      <c r="AS8" s="63">
        <f t="shared" si="21"/>
        <v>9124</v>
      </c>
      <c r="AT8" s="27">
        <v>9842</v>
      </c>
      <c r="AU8" s="24">
        <v>8561</v>
      </c>
      <c r="AV8" s="62">
        <f t="shared" si="22"/>
        <v>9842</v>
      </c>
      <c r="AW8" s="63">
        <f t="shared" si="23"/>
        <v>8561</v>
      </c>
      <c r="AX8" s="78"/>
      <c r="AY8" s="30">
        <v>809</v>
      </c>
      <c r="AZ8" s="54">
        <f t="shared" si="24"/>
        <v>0</v>
      </c>
      <c r="BA8" s="68">
        <f t="shared" si="25"/>
        <v>809</v>
      </c>
      <c r="BB8" s="27">
        <v>529</v>
      </c>
      <c r="BC8" s="24">
        <v>1053</v>
      </c>
      <c r="BD8" s="62">
        <f t="shared" si="26"/>
        <v>529</v>
      </c>
      <c r="BE8" s="63">
        <f t="shared" si="27"/>
        <v>1053</v>
      </c>
      <c r="BF8" s="27">
        <v>1411</v>
      </c>
      <c r="BG8" s="24">
        <v>689</v>
      </c>
      <c r="BH8" s="62">
        <f t="shared" si="28"/>
        <v>1411</v>
      </c>
      <c r="BI8" s="63">
        <f t="shared" si="29"/>
        <v>689</v>
      </c>
      <c r="BJ8" s="27">
        <v>-8</v>
      </c>
      <c r="BK8" s="24">
        <v>-6</v>
      </c>
      <c r="BL8" s="62">
        <f t="shared" si="30"/>
        <v>-8</v>
      </c>
      <c r="BM8" s="63">
        <f t="shared" si="31"/>
        <v>-6</v>
      </c>
      <c r="BN8" s="27">
        <v>829</v>
      </c>
      <c r="BO8" s="24">
        <v>445</v>
      </c>
      <c r="BP8" s="62">
        <f t="shared" si="32"/>
        <v>829</v>
      </c>
      <c r="BQ8" s="62">
        <f t="shared" si="33"/>
        <v>445</v>
      </c>
      <c r="BR8" s="257">
        <v>3848</v>
      </c>
      <c r="BS8" s="258">
        <v>2849</v>
      </c>
      <c r="BT8" s="258">
        <f t="shared" si="34"/>
        <v>3848</v>
      </c>
      <c r="BU8" s="259">
        <f t="shared" si="35"/>
        <v>2849</v>
      </c>
      <c r="BV8" s="599"/>
      <c r="BW8" s="3"/>
      <c r="BX8" s="3"/>
      <c r="BY8" s="4"/>
      <c r="BZ8" s="597">
        <v>22</v>
      </c>
      <c r="CA8" s="594">
        <v>50</v>
      </c>
      <c r="CB8" s="595">
        <f t="shared" si="36"/>
        <v>22</v>
      </c>
      <c r="CC8" s="595">
        <f t="shared" si="37"/>
        <v>50</v>
      </c>
      <c r="CD8" s="33">
        <v>1243</v>
      </c>
      <c r="CE8" s="34">
        <v>1158</v>
      </c>
      <c r="CF8" s="70">
        <f t="shared" si="38"/>
        <v>1243</v>
      </c>
      <c r="CG8" s="70">
        <f t="shared" si="39"/>
        <v>1158</v>
      </c>
      <c r="CH8" s="36">
        <v>-1</v>
      </c>
      <c r="CI8" s="37">
        <v>-1</v>
      </c>
      <c r="CJ8" s="72">
        <f t="shared" si="40"/>
        <v>-1</v>
      </c>
      <c r="CK8" s="72">
        <f t="shared" si="41"/>
        <v>-1</v>
      </c>
      <c r="CL8" s="25">
        <v>9269</v>
      </c>
      <c r="CM8" s="24">
        <v>3713</v>
      </c>
      <c r="CN8" s="62">
        <f t="shared" si="42"/>
        <v>9269</v>
      </c>
      <c r="CO8" s="62">
        <f t="shared" si="43"/>
        <v>3713</v>
      </c>
      <c r="CP8" s="591">
        <f t="shared" si="44"/>
        <v>68659</v>
      </c>
      <c r="CQ8" s="591">
        <f t="shared" si="45"/>
        <v>51925</v>
      </c>
      <c r="CR8" s="591">
        <f t="shared" si="46"/>
        <v>68659</v>
      </c>
      <c r="CS8" s="591">
        <f t="shared" si="47"/>
        <v>51925</v>
      </c>
      <c r="CT8" s="306">
        <v>257</v>
      </c>
      <c r="CU8" s="37">
        <v>236</v>
      </c>
      <c r="CV8" s="72">
        <f t="shared" si="48"/>
        <v>257</v>
      </c>
      <c r="CW8" s="72">
        <f t="shared" si="49"/>
        <v>236</v>
      </c>
      <c r="CX8" s="73">
        <f t="shared" si="50"/>
        <v>68916</v>
      </c>
      <c r="CY8" s="73">
        <f t="shared" si="0"/>
        <v>52161</v>
      </c>
      <c r="CZ8" s="73">
        <f t="shared" si="0"/>
        <v>68916</v>
      </c>
      <c r="DA8" s="74">
        <f t="shared" si="0"/>
        <v>52161</v>
      </c>
    </row>
    <row r="9" spans="1:105" ht="15.75" thickBot="1">
      <c r="A9" s="58" t="s">
        <v>7</v>
      </c>
      <c r="B9" s="76">
        <v>500</v>
      </c>
      <c r="C9" s="15">
        <v>3189</v>
      </c>
      <c r="D9" s="60">
        <f t="shared" si="1"/>
        <v>500</v>
      </c>
      <c r="E9" s="1526">
        <f t="shared" si="2"/>
        <v>3189</v>
      </c>
      <c r="F9" s="25"/>
      <c r="G9" s="24"/>
      <c r="H9" s="62">
        <f t="shared" si="3"/>
        <v>0</v>
      </c>
      <c r="I9" s="63">
        <f t="shared" si="4"/>
        <v>0</v>
      </c>
      <c r="J9" s="27"/>
      <c r="K9" s="24"/>
      <c r="L9" s="62">
        <f t="shared" si="5"/>
        <v>0</v>
      </c>
      <c r="M9" s="63">
        <f t="shared" si="6"/>
        <v>0</v>
      </c>
      <c r="N9" s="25"/>
      <c r="O9" s="24"/>
      <c r="P9" s="62">
        <f t="shared" si="7"/>
        <v>0</v>
      </c>
      <c r="Q9" s="63">
        <f t="shared" si="8"/>
        <v>0</v>
      </c>
      <c r="R9" s="27"/>
      <c r="S9" s="24"/>
      <c r="T9" s="62">
        <f t="shared" si="9"/>
        <v>0</v>
      </c>
      <c r="U9" s="63">
        <f t="shared" si="10"/>
        <v>0</v>
      </c>
      <c r="V9" s="25"/>
      <c r="W9" s="24"/>
      <c r="X9" s="24">
        <f t="shared" si="11"/>
        <v>0</v>
      </c>
      <c r="Y9" s="28">
        <f t="shared" si="11"/>
        <v>0</v>
      </c>
      <c r="Z9" s="27"/>
      <c r="AA9" s="24"/>
      <c r="AB9" s="62">
        <f t="shared" si="12"/>
        <v>0</v>
      </c>
      <c r="AC9" s="63">
        <f t="shared" si="13"/>
        <v>0</v>
      </c>
      <c r="AD9" s="25">
        <v>273</v>
      </c>
      <c r="AE9" s="24">
        <v>92</v>
      </c>
      <c r="AF9" s="62">
        <f t="shared" si="14"/>
        <v>273</v>
      </c>
      <c r="AG9" s="63">
        <f t="shared" si="15"/>
        <v>92</v>
      </c>
      <c r="AH9" s="27"/>
      <c r="AI9" s="24"/>
      <c r="AJ9" s="62">
        <f t="shared" si="16"/>
        <v>0</v>
      </c>
      <c r="AK9" s="63">
        <f t="shared" si="17"/>
        <v>0</v>
      </c>
      <c r="AL9" s="27"/>
      <c r="AM9" s="24"/>
      <c r="AN9" s="62">
        <f t="shared" si="18"/>
        <v>0</v>
      </c>
      <c r="AO9" s="63">
        <f t="shared" si="19"/>
        <v>0</v>
      </c>
      <c r="AP9" s="27"/>
      <c r="AQ9" s="24"/>
      <c r="AR9" s="62">
        <f t="shared" si="20"/>
        <v>0</v>
      </c>
      <c r="AS9" s="63">
        <f t="shared" si="21"/>
        <v>0</v>
      </c>
      <c r="AT9" s="27"/>
      <c r="AU9" s="24"/>
      <c r="AV9" s="62">
        <f t="shared" si="22"/>
        <v>0</v>
      </c>
      <c r="AW9" s="63">
        <f t="shared" si="23"/>
        <v>0</v>
      </c>
      <c r="AX9" s="78"/>
      <c r="AY9" s="30"/>
      <c r="AZ9" s="54">
        <f t="shared" si="24"/>
        <v>0</v>
      </c>
      <c r="BA9" s="68">
        <f t="shared" si="25"/>
        <v>0</v>
      </c>
      <c r="BB9" s="27"/>
      <c r="BC9" s="24"/>
      <c r="BD9" s="62">
        <f t="shared" si="26"/>
        <v>0</v>
      </c>
      <c r="BE9" s="63">
        <f t="shared" si="27"/>
        <v>0</v>
      </c>
      <c r="BF9" s="1242">
        <v>1511</v>
      </c>
      <c r="BG9" s="308">
        <v>470</v>
      </c>
      <c r="BH9" s="62">
        <f t="shared" si="28"/>
        <v>1511</v>
      </c>
      <c r="BI9" s="63">
        <f t="shared" si="29"/>
        <v>470</v>
      </c>
      <c r="BJ9" s="27"/>
      <c r="BK9" s="24"/>
      <c r="BL9" s="62">
        <f t="shared" si="30"/>
        <v>0</v>
      </c>
      <c r="BM9" s="63">
        <f t="shared" si="31"/>
        <v>0</v>
      </c>
      <c r="BN9" s="27"/>
      <c r="BO9" s="24"/>
      <c r="BP9" s="62">
        <f t="shared" si="32"/>
        <v>0</v>
      </c>
      <c r="BQ9" s="62">
        <f t="shared" si="33"/>
        <v>0</v>
      </c>
      <c r="BR9" s="257"/>
      <c r="BS9" s="258"/>
      <c r="BT9" s="258">
        <f t="shared" si="34"/>
        <v>0</v>
      </c>
      <c r="BU9" s="259">
        <f t="shared" si="35"/>
        <v>0</v>
      </c>
      <c r="BV9" s="599"/>
      <c r="BW9" s="3"/>
      <c r="BX9" s="3"/>
      <c r="BY9" s="4"/>
      <c r="BZ9" s="41"/>
      <c r="CA9" s="99"/>
      <c r="CB9" s="595">
        <f t="shared" si="36"/>
        <v>0</v>
      </c>
      <c r="CC9" s="595">
        <f t="shared" si="37"/>
        <v>0</v>
      </c>
      <c r="CD9" s="33"/>
      <c r="CE9" s="34"/>
      <c r="CF9" s="70">
        <f t="shared" si="38"/>
        <v>0</v>
      </c>
      <c r="CG9" s="70">
        <f t="shared" si="39"/>
        <v>0</v>
      </c>
      <c r="CH9" s="36"/>
      <c r="CI9" s="37"/>
      <c r="CJ9" s="72">
        <f t="shared" si="40"/>
        <v>0</v>
      </c>
      <c r="CK9" s="72">
        <f t="shared" si="41"/>
        <v>0</v>
      </c>
      <c r="CL9" s="25">
        <v>12327</v>
      </c>
      <c r="CM9" s="24">
        <v>3913</v>
      </c>
      <c r="CN9" s="62">
        <f t="shared" si="42"/>
        <v>12327</v>
      </c>
      <c r="CO9" s="62">
        <f t="shared" si="43"/>
        <v>3913</v>
      </c>
      <c r="CP9" s="591">
        <f t="shared" si="44"/>
        <v>14611</v>
      </c>
      <c r="CQ9" s="591">
        <f t="shared" si="45"/>
        <v>7664</v>
      </c>
      <c r="CR9" s="591">
        <f t="shared" si="46"/>
        <v>14611</v>
      </c>
      <c r="CS9" s="591">
        <f t="shared" si="47"/>
        <v>7664</v>
      </c>
      <c r="CT9" s="25">
        <v>79872</v>
      </c>
      <c r="CU9" s="24">
        <v>66953</v>
      </c>
      <c r="CV9" s="72">
        <f t="shared" si="48"/>
        <v>79872</v>
      </c>
      <c r="CW9" s="72">
        <f t="shared" si="49"/>
        <v>66953</v>
      </c>
      <c r="CX9" s="61">
        <f t="shared" si="50"/>
        <v>94483</v>
      </c>
      <c r="CY9" s="61">
        <f t="shared" si="0"/>
        <v>74617</v>
      </c>
      <c r="CZ9" s="61">
        <f t="shared" si="0"/>
        <v>94483</v>
      </c>
      <c r="DA9" s="1247">
        <f t="shared" si="0"/>
        <v>74617</v>
      </c>
    </row>
    <row r="10" spans="1:105" ht="15.75" thickBot="1">
      <c r="A10" s="58" t="s">
        <v>15</v>
      </c>
      <c r="B10" s="76"/>
      <c r="C10" s="15"/>
      <c r="D10" s="60">
        <f t="shared" si="1"/>
        <v>0</v>
      </c>
      <c r="E10" s="1526">
        <f t="shared" si="2"/>
        <v>0</v>
      </c>
      <c r="F10" s="25"/>
      <c r="G10" s="24"/>
      <c r="H10" s="62">
        <f t="shared" si="3"/>
        <v>0</v>
      </c>
      <c r="I10" s="63">
        <f t="shared" si="4"/>
        <v>0</v>
      </c>
      <c r="J10" s="27"/>
      <c r="K10" s="24"/>
      <c r="L10" s="62">
        <f t="shared" si="5"/>
        <v>0</v>
      </c>
      <c r="M10" s="63">
        <f t="shared" si="6"/>
        <v>0</v>
      </c>
      <c r="N10" s="25"/>
      <c r="O10" s="24"/>
      <c r="P10" s="62">
        <f t="shared" si="7"/>
        <v>0</v>
      </c>
      <c r="Q10" s="63">
        <f t="shared" si="8"/>
        <v>0</v>
      </c>
      <c r="R10" s="27"/>
      <c r="S10" s="24"/>
      <c r="T10" s="62">
        <f t="shared" si="9"/>
        <v>0</v>
      </c>
      <c r="U10" s="63">
        <f t="shared" si="10"/>
        <v>0</v>
      </c>
      <c r="V10" s="25"/>
      <c r="W10" s="24"/>
      <c r="X10" s="24">
        <f t="shared" si="11"/>
        <v>0</v>
      </c>
      <c r="Y10" s="28">
        <f t="shared" si="11"/>
        <v>0</v>
      </c>
      <c r="Z10" s="27"/>
      <c r="AA10" s="24"/>
      <c r="AB10" s="62">
        <f t="shared" si="12"/>
        <v>0</v>
      </c>
      <c r="AC10" s="63">
        <f t="shared" si="13"/>
        <v>0</v>
      </c>
      <c r="AD10" s="25"/>
      <c r="AE10" s="24"/>
      <c r="AF10" s="62">
        <f t="shared" si="14"/>
        <v>0</v>
      </c>
      <c r="AG10" s="63">
        <f t="shared" si="15"/>
        <v>0</v>
      </c>
      <c r="AH10" s="27"/>
      <c r="AI10" s="24"/>
      <c r="AJ10" s="62">
        <f t="shared" si="16"/>
        <v>0</v>
      </c>
      <c r="AK10" s="63">
        <f t="shared" si="17"/>
        <v>0</v>
      </c>
      <c r="AL10" s="27"/>
      <c r="AM10" s="24"/>
      <c r="AN10" s="62">
        <f t="shared" si="18"/>
        <v>0</v>
      </c>
      <c r="AO10" s="63">
        <f t="shared" si="19"/>
        <v>0</v>
      </c>
      <c r="AP10" s="27"/>
      <c r="AQ10" s="24"/>
      <c r="AR10" s="62">
        <f t="shared" si="20"/>
        <v>0</v>
      </c>
      <c r="AS10" s="63">
        <f t="shared" si="21"/>
        <v>0</v>
      </c>
      <c r="AT10" s="27"/>
      <c r="AU10" s="24"/>
      <c r="AV10" s="62">
        <f t="shared" si="22"/>
        <v>0</v>
      </c>
      <c r="AW10" s="63">
        <f t="shared" si="23"/>
        <v>0</v>
      </c>
      <c r="AX10" s="25"/>
      <c r="AY10" s="24"/>
      <c r="AZ10" s="54">
        <f t="shared" si="24"/>
        <v>0</v>
      </c>
      <c r="BA10" s="68">
        <f t="shared" si="25"/>
        <v>0</v>
      </c>
      <c r="BB10" s="27">
        <v>6819</v>
      </c>
      <c r="BC10" s="24">
        <v>4747</v>
      </c>
      <c r="BD10" s="62">
        <f t="shared" si="26"/>
        <v>6819</v>
      </c>
      <c r="BE10" s="63">
        <f t="shared" si="27"/>
        <v>4747</v>
      </c>
      <c r="BF10" s="27"/>
      <c r="BG10" s="24"/>
      <c r="BH10" s="62">
        <f t="shared" si="28"/>
        <v>0</v>
      </c>
      <c r="BI10" s="63">
        <f t="shared" si="29"/>
        <v>0</v>
      </c>
      <c r="BJ10" s="27"/>
      <c r="BK10" s="24"/>
      <c r="BL10" s="62">
        <f t="shared" si="30"/>
        <v>0</v>
      </c>
      <c r="BM10" s="63">
        <f t="shared" si="31"/>
        <v>0</v>
      </c>
      <c r="BN10" s="27"/>
      <c r="BO10" s="24"/>
      <c r="BP10" s="62">
        <f t="shared" si="32"/>
        <v>0</v>
      </c>
      <c r="BQ10" s="62">
        <f t="shared" si="33"/>
        <v>0</v>
      </c>
      <c r="BR10" s="257"/>
      <c r="BS10" s="258"/>
      <c r="BT10" s="258">
        <f t="shared" si="34"/>
        <v>0</v>
      </c>
      <c r="BU10" s="259">
        <f t="shared" si="35"/>
        <v>0</v>
      </c>
      <c r="BV10" s="599"/>
      <c r="BW10" s="3"/>
      <c r="BX10" s="3"/>
      <c r="BY10" s="4"/>
      <c r="BZ10" s="41"/>
      <c r="CA10" s="99"/>
      <c r="CB10" s="595">
        <f t="shared" si="36"/>
        <v>0</v>
      </c>
      <c r="CC10" s="595">
        <f t="shared" si="37"/>
        <v>0</v>
      </c>
      <c r="CD10" s="33"/>
      <c r="CE10" s="34"/>
      <c r="CF10" s="70">
        <f t="shared" si="38"/>
        <v>0</v>
      </c>
      <c r="CG10" s="70">
        <f t="shared" si="39"/>
        <v>0</v>
      </c>
      <c r="CH10" s="36"/>
      <c r="CI10" s="37"/>
      <c r="CJ10" s="72">
        <f t="shared" si="40"/>
        <v>0</v>
      </c>
      <c r="CK10" s="72">
        <f t="shared" si="41"/>
        <v>0</v>
      </c>
      <c r="CL10" s="25"/>
      <c r="CM10" s="24"/>
      <c r="CN10" s="62">
        <f t="shared" si="42"/>
        <v>0</v>
      </c>
      <c r="CO10" s="62">
        <f t="shared" si="43"/>
        <v>0</v>
      </c>
      <c r="CP10" s="591">
        <f t="shared" si="44"/>
        <v>6819</v>
      </c>
      <c r="CQ10" s="591">
        <f t="shared" si="45"/>
        <v>4747</v>
      </c>
      <c r="CR10" s="591">
        <f t="shared" si="46"/>
        <v>6819</v>
      </c>
      <c r="CS10" s="591">
        <f t="shared" si="47"/>
        <v>4747</v>
      </c>
      <c r="CT10" s="306"/>
      <c r="CU10" s="37"/>
      <c r="CV10" s="72">
        <f t="shared" si="48"/>
        <v>0</v>
      </c>
      <c r="CW10" s="72">
        <f t="shared" si="49"/>
        <v>0</v>
      </c>
      <c r="CX10" s="73">
        <f t="shared" si="50"/>
        <v>6819</v>
      </c>
      <c r="CY10" s="73">
        <f t="shared" si="0"/>
        <v>4747</v>
      </c>
      <c r="CZ10" s="73">
        <f t="shared" si="0"/>
        <v>6819</v>
      </c>
      <c r="DA10" s="74">
        <f t="shared" si="0"/>
        <v>4747</v>
      </c>
    </row>
    <row r="11" spans="1:105" ht="15.75" thickBot="1">
      <c r="A11" s="58" t="s">
        <v>8</v>
      </c>
      <c r="B11" s="76">
        <v>2500</v>
      </c>
      <c r="C11" s="15">
        <v>2769</v>
      </c>
      <c r="D11" s="60">
        <f t="shared" si="1"/>
        <v>2500</v>
      </c>
      <c r="E11" s="1526">
        <f t="shared" si="2"/>
        <v>2769</v>
      </c>
      <c r="F11" s="25">
        <v>5534</v>
      </c>
      <c r="G11" s="24">
        <v>9890</v>
      </c>
      <c r="H11" s="62">
        <f t="shared" si="3"/>
        <v>5534</v>
      </c>
      <c r="I11" s="63">
        <f t="shared" si="4"/>
        <v>9890</v>
      </c>
      <c r="J11" s="27">
        <v>1418</v>
      </c>
      <c r="K11" s="24">
        <v>1585</v>
      </c>
      <c r="L11" s="62">
        <f t="shared" si="5"/>
        <v>1418</v>
      </c>
      <c r="M11" s="63">
        <f t="shared" si="6"/>
        <v>1585</v>
      </c>
      <c r="N11" s="25">
        <v>3710</v>
      </c>
      <c r="O11" s="24">
        <v>3046</v>
      </c>
      <c r="P11" s="62">
        <f t="shared" si="7"/>
        <v>3710</v>
      </c>
      <c r="Q11" s="63">
        <f t="shared" si="8"/>
        <v>3046</v>
      </c>
      <c r="R11" s="27">
        <v>8670</v>
      </c>
      <c r="S11" s="24">
        <v>3441</v>
      </c>
      <c r="T11" s="62">
        <f t="shared" si="9"/>
        <v>8670</v>
      </c>
      <c r="U11" s="63">
        <f t="shared" si="10"/>
        <v>3441</v>
      </c>
      <c r="V11" s="25">
        <v>1345</v>
      </c>
      <c r="W11" s="24">
        <v>1131</v>
      </c>
      <c r="X11" s="24">
        <f t="shared" si="11"/>
        <v>1345</v>
      </c>
      <c r="Y11" s="28">
        <f t="shared" si="11"/>
        <v>1131</v>
      </c>
      <c r="Z11" s="27">
        <v>5589</v>
      </c>
      <c r="AA11" s="24">
        <v>7469</v>
      </c>
      <c r="AB11" s="62">
        <f t="shared" si="12"/>
        <v>5589</v>
      </c>
      <c r="AC11" s="63">
        <f t="shared" si="13"/>
        <v>7469</v>
      </c>
      <c r="AD11" s="25">
        <v>4009</v>
      </c>
      <c r="AE11" s="24">
        <v>4510</v>
      </c>
      <c r="AF11" s="62">
        <f t="shared" si="14"/>
        <v>4009</v>
      </c>
      <c r="AG11" s="63">
        <f t="shared" si="15"/>
        <v>4510</v>
      </c>
      <c r="AH11" s="27">
        <v>1419</v>
      </c>
      <c r="AI11" s="24">
        <v>1213</v>
      </c>
      <c r="AJ11" s="62">
        <f t="shared" si="16"/>
        <v>1419</v>
      </c>
      <c r="AK11" s="63">
        <f t="shared" si="17"/>
        <v>1213</v>
      </c>
      <c r="AL11" s="27">
        <v>3776</v>
      </c>
      <c r="AM11" s="24">
        <v>4833</v>
      </c>
      <c r="AN11" s="62">
        <f t="shared" si="18"/>
        <v>3776</v>
      </c>
      <c r="AO11" s="63">
        <f t="shared" si="19"/>
        <v>4833</v>
      </c>
      <c r="AP11" s="27">
        <v>57985</v>
      </c>
      <c r="AQ11" s="24">
        <v>63542</v>
      </c>
      <c r="AR11" s="62">
        <f t="shared" si="20"/>
        <v>57985</v>
      </c>
      <c r="AS11" s="63">
        <f t="shared" si="21"/>
        <v>63542</v>
      </c>
      <c r="AT11" s="27">
        <v>17544</v>
      </c>
      <c r="AU11" s="24">
        <v>18781</v>
      </c>
      <c r="AV11" s="62">
        <f t="shared" si="22"/>
        <v>17544</v>
      </c>
      <c r="AW11" s="63">
        <f t="shared" si="23"/>
        <v>18781</v>
      </c>
      <c r="AX11" s="25">
        <v>129</v>
      </c>
      <c r="AY11" s="24">
        <v>296</v>
      </c>
      <c r="AZ11" s="54">
        <f t="shared" si="24"/>
        <v>129</v>
      </c>
      <c r="BA11" s="68">
        <f t="shared" si="25"/>
        <v>296</v>
      </c>
      <c r="BB11" s="27">
        <v>2606</v>
      </c>
      <c r="BC11" s="24">
        <v>913</v>
      </c>
      <c r="BD11" s="62">
        <f t="shared" si="26"/>
        <v>2606</v>
      </c>
      <c r="BE11" s="63">
        <f t="shared" si="27"/>
        <v>913</v>
      </c>
      <c r="BF11" s="27">
        <v>15319</v>
      </c>
      <c r="BG11" s="24">
        <v>7995</v>
      </c>
      <c r="BH11" s="62">
        <f t="shared" si="28"/>
        <v>15319</v>
      </c>
      <c r="BI11" s="63">
        <f t="shared" si="29"/>
        <v>7995</v>
      </c>
      <c r="BJ11" s="27">
        <v>24394</v>
      </c>
      <c r="BK11" s="24">
        <v>18723</v>
      </c>
      <c r="BL11" s="62">
        <f t="shared" si="30"/>
        <v>24394</v>
      </c>
      <c r="BM11" s="63">
        <f t="shared" si="31"/>
        <v>18723</v>
      </c>
      <c r="BN11" s="27">
        <v>10575</v>
      </c>
      <c r="BO11" s="24">
        <v>9707</v>
      </c>
      <c r="BP11" s="62">
        <f t="shared" si="32"/>
        <v>10575</v>
      </c>
      <c r="BQ11" s="62">
        <f t="shared" si="33"/>
        <v>9707</v>
      </c>
      <c r="BR11" s="257">
        <v>14574</v>
      </c>
      <c r="BS11" s="258">
        <v>13035</v>
      </c>
      <c r="BT11" s="258">
        <f t="shared" si="34"/>
        <v>14574</v>
      </c>
      <c r="BU11" s="259">
        <f t="shared" si="35"/>
        <v>13035</v>
      </c>
      <c r="BV11" s="599"/>
      <c r="BW11" s="3"/>
      <c r="BX11" s="3"/>
      <c r="BY11" s="4"/>
      <c r="BZ11" s="21">
        <v>2703</v>
      </c>
      <c r="CA11" s="22">
        <v>2412</v>
      </c>
      <c r="CB11" s="595">
        <f t="shared" si="36"/>
        <v>2703</v>
      </c>
      <c r="CC11" s="595">
        <f t="shared" si="37"/>
        <v>2412</v>
      </c>
      <c r="CD11" s="33">
        <v>18057</v>
      </c>
      <c r="CE11" s="34">
        <v>14529</v>
      </c>
      <c r="CF11" s="70">
        <f t="shared" si="38"/>
        <v>18057</v>
      </c>
      <c r="CG11" s="70">
        <f t="shared" si="39"/>
        <v>14529</v>
      </c>
      <c r="CH11" s="36">
        <v>301</v>
      </c>
      <c r="CI11" s="37">
        <v>220</v>
      </c>
      <c r="CJ11" s="72">
        <f t="shared" si="40"/>
        <v>301</v>
      </c>
      <c r="CK11" s="72">
        <f t="shared" si="41"/>
        <v>220</v>
      </c>
      <c r="CL11" s="25">
        <v>7572</v>
      </c>
      <c r="CM11" s="24">
        <v>2994</v>
      </c>
      <c r="CN11" s="62">
        <f t="shared" si="42"/>
        <v>7572</v>
      </c>
      <c r="CO11" s="62">
        <f t="shared" si="43"/>
        <v>2994</v>
      </c>
      <c r="CP11" s="591">
        <f t="shared" si="44"/>
        <v>209729</v>
      </c>
      <c r="CQ11" s="591">
        <f t="shared" si="45"/>
        <v>193034</v>
      </c>
      <c r="CR11" s="591">
        <f t="shared" si="46"/>
        <v>209729</v>
      </c>
      <c r="CS11" s="591">
        <f t="shared" si="47"/>
        <v>193034</v>
      </c>
      <c r="CT11" s="306">
        <v>121131</v>
      </c>
      <c r="CU11" s="37">
        <v>11956</v>
      </c>
      <c r="CV11" s="72">
        <f t="shared" si="48"/>
        <v>121131</v>
      </c>
      <c r="CW11" s="72">
        <f t="shared" si="49"/>
        <v>11956</v>
      </c>
      <c r="CX11" s="73">
        <f t="shared" si="50"/>
        <v>330860</v>
      </c>
      <c r="CY11" s="73">
        <f t="shared" si="0"/>
        <v>204990</v>
      </c>
      <c r="CZ11" s="73">
        <f t="shared" si="0"/>
        <v>330860</v>
      </c>
      <c r="DA11" s="74">
        <f t="shared" si="0"/>
        <v>204990</v>
      </c>
    </row>
    <row r="12" spans="1:105" ht="15.75" thickBot="1">
      <c r="A12" s="58" t="s">
        <v>16</v>
      </c>
      <c r="B12" s="76"/>
      <c r="C12" s="15"/>
      <c r="D12" s="15"/>
      <c r="E12" s="304"/>
      <c r="F12" s="25"/>
      <c r="G12" s="24"/>
      <c r="H12" s="24"/>
      <c r="I12" s="28"/>
      <c r="J12" s="27"/>
      <c r="K12" s="24"/>
      <c r="L12" s="24"/>
      <c r="M12" s="28"/>
      <c r="N12" s="25"/>
      <c r="O12" s="24"/>
      <c r="P12" s="62">
        <f t="shared" si="7"/>
        <v>0</v>
      </c>
      <c r="Q12" s="63">
        <f t="shared" si="8"/>
        <v>0</v>
      </c>
      <c r="R12" s="27"/>
      <c r="S12" s="24"/>
      <c r="T12" s="24"/>
      <c r="U12" s="28"/>
      <c r="V12" s="25"/>
      <c r="W12" s="24"/>
      <c r="X12" s="24"/>
      <c r="Y12" s="28"/>
      <c r="Z12" s="27"/>
      <c r="AA12" s="24"/>
      <c r="AB12" s="24"/>
      <c r="AC12" s="28"/>
      <c r="AD12" s="25"/>
      <c r="AE12" s="24"/>
      <c r="AF12" s="24"/>
      <c r="AG12" s="28"/>
      <c r="AH12" s="27">
        <v>17</v>
      </c>
      <c r="AI12" s="24"/>
      <c r="AJ12" s="62">
        <f t="shared" si="16"/>
        <v>17</v>
      </c>
      <c r="AK12" s="63">
        <f t="shared" si="17"/>
        <v>0</v>
      </c>
      <c r="AL12" s="27"/>
      <c r="AM12" s="24"/>
      <c r="AN12" s="24"/>
      <c r="AO12" s="28"/>
      <c r="AP12" s="27"/>
      <c r="AQ12" s="24"/>
      <c r="AR12" s="62">
        <f t="shared" si="20"/>
        <v>0</v>
      </c>
      <c r="AS12" s="63">
        <f t="shared" si="21"/>
        <v>0</v>
      </c>
      <c r="AT12" s="27"/>
      <c r="AU12" s="24"/>
      <c r="AV12" s="62">
        <f t="shared" si="22"/>
        <v>0</v>
      </c>
      <c r="AW12" s="63">
        <f t="shared" si="23"/>
        <v>0</v>
      </c>
      <c r="AX12" s="25"/>
      <c r="AY12" s="24"/>
      <c r="AZ12" s="54">
        <f t="shared" si="24"/>
        <v>0</v>
      </c>
      <c r="BA12" s="68">
        <f t="shared" si="25"/>
        <v>0</v>
      </c>
      <c r="BB12" s="27"/>
      <c r="BC12" s="24"/>
      <c r="BD12" s="62">
        <f t="shared" si="26"/>
        <v>0</v>
      </c>
      <c r="BE12" s="63">
        <f t="shared" si="27"/>
        <v>0</v>
      </c>
      <c r="BF12" s="27">
        <v>204</v>
      </c>
      <c r="BG12" s="24">
        <v>170</v>
      </c>
      <c r="BH12" s="62">
        <f t="shared" si="28"/>
        <v>204</v>
      </c>
      <c r="BI12" s="63">
        <f t="shared" si="29"/>
        <v>170</v>
      </c>
      <c r="BJ12" s="27"/>
      <c r="BK12" s="24">
        <v>11</v>
      </c>
      <c r="BL12" s="62">
        <f t="shared" si="30"/>
        <v>0</v>
      </c>
      <c r="BM12" s="63">
        <f t="shared" si="31"/>
        <v>11</v>
      </c>
      <c r="BN12" s="27"/>
      <c r="BO12" s="24"/>
      <c r="BP12" s="62">
        <f t="shared" si="32"/>
        <v>0</v>
      </c>
      <c r="BQ12" s="62">
        <f t="shared" si="33"/>
        <v>0</v>
      </c>
      <c r="BR12" s="257"/>
      <c r="BS12" s="258"/>
      <c r="BT12" s="258">
        <f t="shared" si="34"/>
        <v>0</v>
      </c>
      <c r="BU12" s="259">
        <f t="shared" si="35"/>
        <v>0</v>
      </c>
      <c r="BV12" s="599"/>
      <c r="BW12" s="3"/>
      <c r="BX12" s="3"/>
      <c r="BY12" s="4"/>
      <c r="BZ12" s="21"/>
      <c r="CA12" s="22"/>
      <c r="CB12" s="595">
        <f t="shared" si="36"/>
        <v>0</v>
      </c>
      <c r="CC12" s="595">
        <f t="shared" si="37"/>
        <v>0</v>
      </c>
      <c r="CD12" s="33"/>
      <c r="CE12" s="34"/>
      <c r="CF12" s="70">
        <f t="shared" si="38"/>
        <v>0</v>
      </c>
      <c r="CG12" s="70">
        <f t="shared" si="39"/>
        <v>0</v>
      </c>
      <c r="CH12" s="36"/>
      <c r="CI12" s="37"/>
      <c r="CJ12" s="72">
        <f t="shared" si="40"/>
        <v>0</v>
      </c>
      <c r="CK12" s="72">
        <f t="shared" si="41"/>
        <v>0</v>
      </c>
      <c r="CL12" s="25"/>
      <c r="CM12" s="24"/>
      <c r="CN12" s="62">
        <f t="shared" si="42"/>
        <v>0</v>
      </c>
      <c r="CO12" s="62">
        <f t="shared" si="43"/>
        <v>0</v>
      </c>
      <c r="CP12" s="591">
        <f t="shared" si="44"/>
        <v>221</v>
      </c>
      <c r="CQ12" s="591">
        <f t="shared" si="45"/>
        <v>181</v>
      </c>
      <c r="CR12" s="591">
        <f t="shared" si="46"/>
        <v>221</v>
      </c>
      <c r="CS12" s="591">
        <f t="shared" si="47"/>
        <v>181</v>
      </c>
      <c r="CT12" s="306"/>
      <c r="CU12" s="37"/>
      <c r="CV12" s="72">
        <f t="shared" si="48"/>
        <v>0</v>
      </c>
      <c r="CW12" s="72">
        <f t="shared" si="49"/>
        <v>0</v>
      </c>
      <c r="CX12" s="73">
        <f t="shared" si="50"/>
        <v>221</v>
      </c>
      <c r="CY12" s="73">
        <f t="shared" si="0"/>
        <v>181</v>
      </c>
      <c r="CZ12" s="73">
        <f t="shared" si="0"/>
        <v>221</v>
      </c>
      <c r="DA12" s="74">
        <f t="shared" si="0"/>
        <v>181</v>
      </c>
    </row>
    <row r="13" spans="1:105" ht="15.75" thickBot="1">
      <c r="A13" s="58" t="s">
        <v>17</v>
      </c>
      <c r="B13" s="76"/>
      <c r="C13" s="15"/>
      <c r="D13" s="15"/>
      <c r="E13" s="304"/>
      <c r="F13" s="25"/>
      <c r="G13" s="24"/>
      <c r="H13" s="24"/>
      <c r="I13" s="28"/>
      <c r="J13" s="27"/>
      <c r="K13" s="24"/>
      <c r="L13" s="24"/>
      <c r="M13" s="28"/>
      <c r="N13" s="25"/>
      <c r="O13" s="24"/>
      <c r="P13" s="62">
        <f t="shared" si="7"/>
        <v>0</v>
      </c>
      <c r="Q13" s="63">
        <f t="shared" si="8"/>
        <v>0</v>
      </c>
      <c r="R13" s="27"/>
      <c r="S13" s="24"/>
      <c r="T13" s="24"/>
      <c r="U13" s="28"/>
      <c r="V13" s="25"/>
      <c r="W13" s="24"/>
      <c r="X13" s="24"/>
      <c r="Y13" s="28"/>
      <c r="Z13" s="27"/>
      <c r="AA13" s="24"/>
      <c r="AB13" s="24"/>
      <c r="AC13" s="28"/>
      <c r="AD13" s="25"/>
      <c r="AE13" s="24"/>
      <c r="AF13" s="24"/>
      <c r="AG13" s="28"/>
      <c r="AH13" s="27"/>
      <c r="AI13" s="24">
        <v>109</v>
      </c>
      <c r="AJ13" s="62">
        <f t="shared" si="16"/>
        <v>0</v>
      </c>
      <c r="AK13" s="63">
        <f t="shared" si="17"/>
        <v>109</v>
      </c>
      <c r="AL13" s="27"/>
      <c r="AM13" s="24"/>
      <c r="AN13" s="24"/>
      <c r="AO13" s="28"/>
      <c r="AP13" s="27">
        <v>43</v>
      </c>
      <c r="AQ13" s="24">
        <v>51</v>
      </c>
      <c r="AR13" s="62">
        <f t="shared" si="20"/>
        <v>43</v>
      </c>
      <c r="AS13" s="63">
        <f t="shared" si="21"/>
        <v>51</v>
      </c>
      <c r="AT13" s="27">
        <v>157</v>
      </c>
      <c r="AU13" s="24">
        <v>69</v>
      </c>
      <c r="AV13" s="62">
        <f t="shared" si="22"/>
        <v>157</v>
      </c>
      <c r="AW13" s="63">
        <f t="shared" si="23"/>
        <v>69</v>
      </c>
      <c r="AX13" s="25"/>
      <c r="AY13" s="24"/>
      <c r="AZ13" s="54">
        <f t="shared" si="24"/>
        <v>0</v>
      </c>
      <c r="BA13" s="68">
        <f t="shared" si="25"/>
        <v>0</v>
      </c>
      <c r="BB13" s="27"/>
      <c r="BC13" s="24"/>
      <c r="BD13" s="62">
        <f t="shared" si="26"/>
        <v>0</v>
      </c>
      <c r="BE13" s="63">
        <f t="shared" si="27"/>
        <v>0</v>
      </c>
      <c r="BF13" s="27"/>
      <c r="BG13" s="24"/>
      <c r="BH13" s="62">
        <f t="shared" si="28"/>
        <v>0</v>
      </c>
      <c r="BI13" s="63">
        <f t="shared" si="29"/>
        <v>0</v>
      </c>
      <c r="BJ13" s="27"/>
      <c r="BK13" s="24"/>
      <c r="BL13" s="62">
        <f t="shared" si="30"/>
        <v>0</v>
      </c>
      <c r="BM13" s="63">
        <f t="shared" si="31"/>
        <v>0</v>
      </c>
      <c r="BN13" s="27"/>
      <c r="BO13" s="24"/>
      <c r="BP13" s="62">
        <f t="shared" si="32"/>
        <v>0</v>
      </c>
      <c r="BQ13" s="62">
        <f t="shared" si="33"/>
        <v>0</v>
      </c>
      <c r="BR13" s="257"/>
      <c r="BS13" s="258"/>
      <c r="BT13" s="258">
        <f t="shared" si="34"/>
        <v>0</v>
      </c>
      <c r="BU13" s="259">
        <f t="shared" si="35"/>
        <v>0</v>
      </c>
      <c r="BV13" s="599"/>
      <c r="BW13" s="3"/>
      <c r="BX13" s="3"/>
      <c r="BY13" s="4"/>
      <c r="BZ13" s="21"/>
      <c r="CA13" s="22"/>
      <c r="CB13" s="595">
        <f t="shared" si="36"/>
        <v>0</v>
      </c>
      <c r="CC13" s="595">
        <f t="shared" si="37"/>
        <v>0</v>
      </c>
      <c r="CD13" s="33"/>
      <c r="CE13" s="34"/>
      <c r="CF13" s="70">
        <f t="shared" si="38"/>
        <v>0</v>
      </c>
      <c r="CG13" s="70">
        <f t="shared" si="39"/>
        <v>0</v>
      </c>
      <c r="CH13" s="36"/>
      <c r="CI13" s="37"/>
      <c r="CJ13" s="72">
        <f t="shared" si="40"/>
        <v>0</v>
      </c>
      <c r="CK13" s="72">
        <f t="shared" si="41"/>
        <v>0</v>
      </c>
      <c r="CL13" s="25"/>
      <c r="CM13" s="24"/>
      <c r="CN13" s="62">
        <f t="shared" si="42"/>
        <v>0</v>
      </c>
      <c r="CO13" s="62">
        <f t="shared" si="43"/>
        <v>0</v>
      </c>
      <c r="CP13" s="591">
        <f t="shared" si="44"/>
        <v>200</v>
      </c>
      <c r="CQ13" s="591">
        <f t="shared" si="45"/>
        <v>229</v>
      </c>
      <c r="CR13" s="591">
        <f t="shared" si="46"/>
        <v>200</v>
      </c>
      <c r="CS13" s="591">
        <f t="shared" si="47"/>
        <v>229</v>
      </c>
      <c r="CT13" s="306">
        <v>258</v>
      </c>
      <c r="CU13" s="37">
        <v>131</v>
      </c>
      <c r="CV13" s="72">
        <f t="shared" si="48"/>
        <v>258</v>
      </c>
      <c r="CW13" s="72">
        <f t="shared" si="49"/>
        <v>131</v>
      </c>
      <c r="CX13" s="73">
        <f t="shared" si="50"/>
        <v>458</v>
      </c>
      <c r="CY13" s="73">
        <f t="shared" si="0"/>
        <v>360</v>
      </c>
      <c r="CZ13" s="73">
        <f t="shared" si="0"/>
        <v>458</v>
      </c>
      <c r="DA13" s="74">
        <f t="shared" si="0"/>
        <v>360</v>
      </c>
    </row>
    <row r="14" spans="1:105" ht="15.75" thickBot="1">
      <c r="A14" s="58" t="s">
        <v>18</v>
      </c>
      <c r="B14" s="76"/>
      <c r="C14" s="15"/>
      <c r="D14" s="15"/>
      <c r="E14" s="304"/>
      <c r="F14" s="25"/>
      <c r="G14" s="24"/>
      <c r="H14" s="24"/>
      <c r="I14" s="28"/>
      <c r="J14" s="27"/>
      <c r="K14" s="24"/>
      <c r="L14" s="24"/>
      <c r="M14" s="28"/>
      <c r="N14" s="25">
        <v>7689</v>
      </c>
      <c r="O14" s="24">
        <v>5474</v>
      </c>
      <c r="P14" s="62">
        <f t="shared" si="7"/>
        <v>7689</v>
      </c>
      <c r="Q14" s="63">
        <f t="shared" si="8"/>
        <v>5474</v>
      </c>
      <c r="R14" s="27"/>
      <c r="S14" s="24"/>
      <c r="T14" s="24"/>
      <c r="U14" s="28"/>
      <c r="V14" s="25"/>
      <c r="W14" s="24"/>
      <c r="X14" s="24"/>
      <c r="Y14" s="28"/>
      <c r="Z14" s="27"/>
      <c r="AA14" s="24"/>
      <c r="AB14" s="24"/>
      <c r="AC14" s="28"/>
      <c r="AD14" s="25"/>
      <c r="AE14" s="24"/>
      <c r="AF14" s="24"/>
      <c r="AG14" s="28"/>
      <c r="AH14" s="27"/>
      <c r="AI14" s="24"/>
      <c r="AJ14" s="24"/>
      <c r="AK14" s="28"/>
      <c r="AL14" s="27"/>
      <c r="AM14" s="24"/>
      <c r="AN14" s="24"/>
      <c r="AO14" s="28"/>
      <c r="AP14" s="27"/>
      <c r="AQ14" s="24"/>
      <c r="AR14" s="62">
        <f t="shared" si="20"/>
        <v>0</v>
      </c>
      <c r="AS14" s="63">
        <f t="shared" si="21"/>
        <v>0</v>
      </c>
      <c r="AT14" s="27">
        <v>7110</v>
      </c>
      <c r="AU14" s="24">
        <v>6202</v>
      </c>
      <c r="AV14" s="62">
        <f t="shared" si="22"/>
        <v>7110</v>
      </c>
      <c r="AW14" s="63">
        <f t="shared" si="23"/>
        <v>6202</v>
      </c>
      <c r="AX14" s="25"/>
      <c r="AY14" s="24"/>
      <c r="AZ14" s="54">
        <f t="shared" si="24"/>
        <v>0</v>
      </c>
      <c r="BA14" s="68">
        <f t="shared" si="25"/>
        <v>0</v>
      </c>
      <c r="BB14" s="27"/>
      <c r="BC14" s="24"/>
      <c r="BD14" s="62">
        <f t="shared" si="26"/>
        <v>0</v>
      </c>
      <c r="BE14" s="63">
        <f t="shared" si="27"/>
        <v>0</v>
      </c>
      <c r="BF14" s="27"/>
      <c r="BG14" s="24"/>
      <c r="BH14" s="62">
        <f t="shared" si="28"/>
        <v>0</v>
      </c>
      <c r="BI14" s="63">
        <f t="shared" si="29"/>
        <v>0</v>
      </c>
      <c r="BJ14" s="27"/>
      <c r="BK14" s="24"/>
      <c r="BL14" s="62">
        <f t="shared" si="30"/>
        <v>0</v>
      </c>
      <c r="BM14" s="63">
        <f t="shared" si="31"/>
        <v>0</v>
      </c>
      <c r="BN14" s="27"/>
      <c r="BO14" s="24"/>
      <c r="BP14" s="62">
        <f t="shared" si="32"/>
        <v>0</v>
      </c>
      <c r="BQ14" s="62">
        <f t="shared" si="33"/>
        <v>0</v>
      </c>
      <c r="BR14" s="257"/>
      <c r="BS14" s="258"/>
      <c r="BT14" s="258">
        <f t="shared" si="34"/>
        <v>0</v>
      </c>
      <c r="BU14" s="259">
        <f t="shared" si="35"/>
        <v>0</v>
      </c>
      <c r="BV14" s="599"/>
      <c r="BW14" s="3"/>
      <c r="BX14" s="3"/>
      <c r="BY14" s="4"/>
      <c r="BZ14" s="21"/>
      <c r="CA14" s="22"/>
      <c r="CB14" s="595">
        <f t="shared" si="36"/>
        <v>0</v>
      </c>
      <c r="CC14" s="595">
        <f t="shared" si="37"/>
        <v>0</v>
      </c>
      <c r="CD14" s="33"/>
      <c r="CE14" s="34"/>
      <c r="CF14" s="70">
        <f t="shared" si="38"/>
        <v>0</v>
      </c>
      <c r="CG14" s="70">
        <f t="shared" si="39"/>
        <v>0</v>
      </c>
      <c r="CH14" s="36"/>
      <c r="CI14" s="37"/>
      <c r="CJ14" s="72">
        <f t="shared" si="40"/>
        <v>0</v>
      </c>
      <c r="CK14" s="72">
        <f t="shared" si="41"/>
        <v>0</v>
      </c>
      <c r="CL14" s="25"/>
      <c r="CM14" s="24"/>
      <c r="CN14" s="62">
        <f t="shared" si="42"/>
        <v>0</v>
      </c>
      <c r="CO14" s="62">
        <f t="shared" si="43"/>
        <v>0</v>
      </c>
      <c r="CP14" s="591">
        <f t="shared" si="44"/>
        <v>14799</v>
      </c>
      <c r="CQ14" s="591">
        <f t="shared" si="45"/>
        <v>11676</v>
      </c>
      <c r="CR14" s="591">
        <f t="shared" si="46"/>
        <v>14799</v>
      </c>
      <c r="CS14" s="591">
        <f t="shared" si="47"/>
        <v>11676</v>
      </c>
      <c r="CT14" s="306"/>
      <c r="CU14" s="37"/>
      <c r="CV14" s="72">
        <f t="shared" si="48"/>
        <v>0</v>
      </c>
      <c r="CW14" s="72">
        <f t="shared" si="49"/>
        <v>0</v>
      </c>
      <c r="CX14" s="73">
        <f t="shared" si="50"/>
        <v>14799</v>
      </c>
      <c r="CY14" s="73">
        <f t="shared" si="0"/>
        <v>11676</v>
      </c>
      <c r="CZ14" s="73">
        <f t="shared" si="0"/>
        <v>14799</v>
      </c>
      <c r="DA14" s="74">
        <f t="shared" si="0"/>
        <v>11676</v>
      </c>
    </row>
    <row r="15" spans="1:105" ht="15.75" thickBot="1">
      <c r="A15" s="58" t="s">
        <v>19</v>
      </c>
      <c r="B15" s="1079"/>
      <c r="C15" s="1080"/>
      <c r="D15" s="1080"/>
      <c r="E15" s="1527"/>
      <c r="F15" s="1084"/>
      <c r="G15" s="1082"/>
      <c r="H15" s="1082"/>
      <c r="I15" s="1083"/>
      <c r="J15" s="1081"/>
      <c r="K15" s="1082"/>
      <c r="L15" s="1082"/>
      <c r="M15" s="1083"/>
      <c r="N15" s="1084"/>
      <c r="O15" s="1082"/>
      <c r="P15" s="1082"/>
      <c r="Q15" s="1083"/>
      <c r="R15" s="1081"/>
      <c r="S15" s="1082"/>
      <c r="T15" s="1082"/>
      <c r="U15" s="1083"/>
      <c r="V15" s="1084"/>
      <c r="W15" s="1082"/>
      <c r="X15" s="1082"/>
      <c r="Y15" s="1083"/>
      <c r="Z15" s="1081"/>
      <c r="AA15" s="1082"/>
      <c r="AB15" s="1082"/>
      <c r="AC15" s="1083"/>
      <c r="AD15" s="1084"/>
      <c r="AE15" s="1082"/>
      <c r="AF15" s="1082"/>
      <c r="AG15" s="1083"/>
      <c r="AH15" s="1081"/>
      <c r="AI15" s="1082"/>
      <c r="AJ15" s="1082"/>
      <c r="AK15" s="1083"/>
      <c r="AL15" s="1081"/>
      <c r="AM15" s="1082"/>
      <c r="AN15" s="1082"/>
      <c r="AO15" s="1083"/>
      <c r="AP15" s="1081">
        <v>8770</v>
      </c>
      <c r="AQ15" s="1082"/>
      <c r="AR15" s="62">
        <f t="shared" si="20"/>
        <v>8770</v>
      </c>
      <c r="AS15" s="63">
        <f t="shared" si="21"/>
        <v>0</v>
      </c>
      <c r="AT15" s="1081">
        <v>8166</v>
      </c>
      <c r="AU15" s="1082">
        <v>3939</v>
      </c>
      <c r="AV15" s="62">
        <f t="shared" si="22"/>
        <v>8166</v>
      </c>
      <c r="AW15" s="63">
        <f t="shared" si="23"/>
        <v>3939</v>
      </c>
      <c r="AX15" s="1084"/>
      <c r="AY15" s="1082"/>
      <c r="AZ15" s="54">
        <f t="shared" si="24"/>
        <v>0</v>
      </c>
      <c r="BA15" s="68">
        <f t="shared" si="25"/>
        <v>0</v>
      </c>
      <c r="BB15" s="1081"/>
      <c r="BC15" s="1082"/>
      <c r="BD15" s="62">
        <f t="shared" si="26"/>
        <v>0</v>
      </c>
      <c r="BE15" s="63">
        <f t="shared" si="27"/>
        <v>0</v>
      </c>
      <c r="BF15" s="1081"/>
      <c r="BG15" s="1082"/>
      <c r="BH15" s="62">
        <f t="shared" si="28"/>
        <v>0</v>
      </c>
      <c r="BI15" s="63">
        <f t="shared" si="29"/>
        <v>0</v>
      </c>
      <c r="BJ15" s="1081"/>
      <c r="BK15" s="1082"/>
      <c r="BL15" s="62">
        <f t="shared" si="30"/>
        <v>0</v>
      </c>
      <c r="BM15" s="63">
        <f t="shared" si="31"/>
        <v>0</v>
      </c>
      <c r="BN15" s="1081"/>
      <c r="BO15" s="1082"/>
      <c r="BP15" s="62">
        <f t="shared" si="32"/>
        <v>0</v>
      </c>
      <c r="BQ15" s="62">
        <f t="shared" si="33"/>
        <v>0</v>
      </c>
      <c r="BR15" s="290">
        <v>52</v>
      </c>
      <c r="BS15" s="285"/>
      <c r="BT15" s="258">
        <f t="shared" si="34"/>
        <v>52</v>
      </c>
      <c r="BU15" s="259">
        <f t="shared" si="35"/>
        <v>0</v>
      </c>
      <c r="BV15" s="1085"/>
      <c r="BW15" s="374"/>
      <c r="BX15" s="374"/>
      <c r="BY15" s="375"/>
      <c r="BZ15" s="1086"/>
      <c r="CA15" s="1087"/>
      <c r="CB15" s="595">
        <f t="shared" si="36"/>
        <v>0</v>
      </c>
      <c r="CC15" s="595">
        <f t="shared" si="37"/>
        <v>0</v>
      </c>
      <c r="CD15" s="1088"/>
      <c r="CE15" s="1089"/>
      <c r="CF15" s="70">
        <f t="shared" si="38"/>
        <v>0</v>
      </c>
      <c r="CG15" s="70">
        <f t="shared" si="39"/>
        <v>0</v>
      </c>
      <c r="CH15" s="1090"/>
      <c r="CI15" s="1091"/>
      <c r="CJ15" s="72">
        <f t="shared" si="40"/>
        <v>0</v>
      </c>
      <c r="CK15" s="72">
        <f t="shared" si="41"/>
        <v>0</v>
      </c>
      <c r="CL15" s="1084"/>
      <c r="CM15" s="1082"/>
      <c r="CN15" s="62">
        <f t="shared" si="42"/>
        <v>0</v>
      </c>
      <c r="CO15" s="62">
        <f t="shared" si="43"/>
        <v>0</v>
      </c>
      <c r="CP15" s="591">
        <f t="shared" si="44"/>
        <v>16988</v>
      </c>
      <c r="CQ15" s="591">
        <f t="shared" si="45"/>
        <v>3939</v>
      </c>
      <c r="CR15" s="591">
        <f t="shared" si="46"/>
        <v>16988</v>
      </c>
      <c r="CS15" s="591">
        <f t="shared" si="47"/>
        <v>3939</v>
      </c>
      <c r="CT15" s="1092"/>
      <c r="CU15" s="1091"/>
      <c r="CV15" s="72">
        <f t="shared" si="48"/>
        <v>0</v>
      </c>
      <c r="CW15" s="72">
        <f t="shared" si="49"/>
        <v>0</v>
      </c>
      <c r="CX15" s="1093">
        <f t="shared" si="50"/>
        <v>16988</v>
      </c>
      <c r="CY15" s="1093">
        <f t="shared" si="0"/>
        <v>3939</v>
      </c>
      <c r="CZ15" s="1093">
        <f t="shared" si="0"/>
        <v>16988</v>
      </c>
      <c r="DA15" s="1094">
        <f t="shared" si="0"/>
        <v>3939</v>
      </c>
    </row>
    <row r="16" spans="1:105" s="708" customFormat="1" ht="15" thickBot="1">
      <c r="A16" s="1246" t="s">
        <v>20</v>
      </c>
      <c r="B16" s="1095">
        <f>SUM(B5:B15)</f>
        <v>50689</v>
      </c>
      <c r="C16" s="1095">
        <f aca="true" t="shared" si="51" ref="C16:BN16">SUM(C5:C15)</f>
        <v>49340</v>
      </c>
      <c r="D16" s="1095">
        <f t="shared" si="51"/>
        <v>50689</v>
      </c>
      <c r="E16" s="1096">
        <f t="shared" si="51"/>
        <v>49340</v>
      </c>
      <c r="F16" s="1095">
        <f t="shared" si="51"/>
        <v>5763</v>
      </c>
      <c r="G16" s="1095">
        <f t="shared" si="51"/>
        <v>10379</v>
      </c>
      <c r="H16" s="1095">
        <f t="shared" si="51"/>
        <v>5763</v>
      </c>
      <c r="I16" s="1100">
        <f t="shared" si="51"/>
        <v>10379</v>
      </c>
      <c r="J16" s="1099">
        <f t="shared" si="51"/>
        <v>3694</v>
      </c>
      <c r="K16" s="1095">
        <f t="shared" si="51"/>
        <v>5775</v>
      </c>
      <c r="L16" s="1095">
        <f t="shared" si="51"/>
        <v>3694</v>
      </c>
      <c r="M16" s="1100">
        <f t="shared" si="51"/>
        <v>5775</v>
      </c>
      <c r="N16" s="1095">
        <f t="shared" si="51"/>
        <v>58718</v>
      </c>
      <c r="O16" s="1095">
        <f t="shared" si="51"/>
        <v>59190</v>
      </c>
      <c r="P16" s="1095">
        <f t="shared" si="51"/>
        <v>58718</v>
      </c>
      <c r="Q16" s="1100">
        <f t="shared" si="51"/>
        <v>59190</v>
      </c>
      <c r="R16" s="1099">
        <f t="shared" si="51"/>
        <v>62620</v>
      </c>
      <c r="S16" s="1095">
        <f t="shared" si="51"/>
        <v>27402</v>
      </c>
      <c r="T16" s="1095">
        <f t="shared" si="51"/>
        <v>62620</v>
      </c>
      <c r="U16" s="1100">
        <f t="shared" si="51"/>
        <v>27402</v>
      </c>
      <c r="V16" s="1095">
        <f t="shared" si="51"/>
        <v>23834</v>
      </c>
      <c r="W16" s="1095">
        <f t="shared" si="51"/>
        <v>17277</v>
      </c>
      <c r="X16" s="1095">
        <f t="shared" si="51"/>
        <v>23834</v>
      </c>
      <c r="Y16" s="1100">
        <f t="shared" si="51"/>
        <v>17277</v>
      </c>
      <c r="Z16" s="1099">
        <f t="shared" si="51"/>
        <v>9816</v>
      </c>
      <c r="AA16" s="1095">
        <f t="shared" si="51"/>
        <v>18660</v>
      </c>
      <c r="AB16" s="1095">
        <f t="shared" si="51"/>
        <v>9816</v>
      </c>
      <c r="AC16" s="1100">
        <f t="shared" si="51"/>
        <v>18660</v>
      </c>
      <c r="AD16" s="1095">
        <f t="shared" si="51"/>
        <v>13831</v>
      </c>
      <c r="AE16" s="1095">
        <f t="shared" si="51"/>
        <v>13448</v>
      </c>
      <c r="AF16" s="1095">
        <f t="shared" si="51"/>
        <v>13831</v>
      </c>
      <c r="AG16" s="1100">
        <f t="shared" si="51"/>
        <v>13448</v>
      </c>
      <c r="AH16" s="1099">
        <f t="shared" si="51"/>
        <v>36664</v>
      </c>
      <c r="AI16" s="1095">
        <f t="shared" si="51"/>
        <v>35090</v>
      </c>
      <c r="AJ16" s="1095">
        <f t="shared" si="51"/>
        <v>36664</v>
      </c>
      <c r="AK16" s="1100">
        <f t="shared" si="51"/>
        <v>35090</v>
      </c>
      <c r="AL16" s="1099">
        <f t="shared" si="51"/>
        <v>9644</v>
      </c>
      <c r="AM16" s="1095">
        <f t="shared" si="51"/>
        <v>11297</v>
      </c>
      <c r="AN16" s="1095">
        <f t="shared" si="51"/>
        <v>9644</v>
      </c>
      <c r="AO16" s="1100">
        <f t="shared" si="51"/>
        <v>11297</v>
      </c>
      <c r="AP16" s="1099">
        <f t="shared" si="51"/>
        <v>203318</v>
      </c>
      <c r="AQ16" s="1095">
        <f t="shared" si="51"/>
        <v>202533</v>
      </c>
      <c r="AR16" s="1095">
        <f t="shared" si="51"/>
        <v>203318</v>
      </c>
      <c r="AS16" s="1100">
        <f t="shared" si="51"/>
        <v>202533</v>
      </c>
      <c r="AT16" s="1099">
        <f t="shared" si="51"/>
        <v>163331</v>
      </c>
      <c r="AU16" s="1095">
        <f t="shared" si="51"/>
        <v>161413</v>
      </c>
      <c r="AV16" s="1095">
        <f t="shared" si="51"/>
        <v>163331</v>
      </c>
      <c r="AW16" s="1100">
        <f t="shared" si="51"/>
        <v>161413</v>
      </c>
      <c r="AX16" s="1095">
        <f t="shared" si="51"/>
        <v>11396</v>
      </c>
      <c r="AY16" s="1095">
        <f t="shared" si="51"/>
        <v>17530</v>
      </c>
      <c r="AZ16" s="1095">
        <f t="shared" si="51"/>
        <v>11396</v>
      </c>
      <c r="BA16" s="1100">
        <f t="shared" si="51"/>
        <v>17530</v>
      </c>
      <c r="BB16" s="1099">
        <f t="shared" si="51"/>
        <v>35001</v>
      </c>
      <c r="BC16" s="1095">
        <f t="shared" si="51"/>
        <v>30136</v>
      </c>
      <c r="BD16" s="1095">
        <f t="shared" si="51"/>
        <v>35001</v>
      </c>
      <c r="BE16" s="1100">
        <f t="shared" si="51"/>
        <v>30136</v>
      </c>
      <c r="BF16" s="1099">
        <f t="shared" si="51"/>
        <v>54069</v>
      </c>
      <c r="BG16" s="1095">
        <f t="shared" si="51"/>
        <v>43081</v>
      </c>
      <c r="BH16" s="1095">
        <f t="shared" si="51"/>
        <v>54069</v>
      </c>
      <c r="BI16" s="1100">
        <f t="shared" si="51"/>
        <v>43081</v>
      </c>
      <c r="BJ16" s="1099">
        <f t="shared" si="51"/>
        <v>113213</v>
      </c>
      <c r="BK16" s="1095">
        <f t="shared" si="51"/>
        <v>103323</v>
      </c>
      <c r="BL16" s="1095">
        <f t="shared" si="51"/>
        <v>113213</v>
      </c>
      <c r="BM16" s="1100">
        <f t="shared" si="51"/>
        <v>103323</v>
      </c>
      <c r="BN16" s="1099">
        <f t="shared" si="51"/>
        <v>39505</v>
      </c>
      <c r="BO16" s="1095">
        <f aca="true" t="shared" si="52" ref="BO16:CO16">SUM(BO5:BO15)</f>
        <v>37637</v>
      </c>
      <c r="BP16" s="1095">
        <f t="shared" si="52"/>
        <v>39505</v>
      </c>
      <c r="BQ16" s="1100">
        <f t="shared" si="52"/>
        <v>37637</v>
      </c>
      <c r="BR16" s="1095">
        <f t="shared" si="52"/>
        <v>52780</v>
      </c>
      <c r="BS16" s="1095">
        <f t="shared" si="52"/>
        <v>47907</v>
      </c>
      <c r="BT16" s="1095">
        <f t="shared" si="52"/>
        <v>52780</v>
      </c>
      <c r="BU16" s="1100">
        <f t="shared" si="52"/>
        <v>47907</v>
      </c>
      <c r="BV16" s="1095">
        <f t="shared" si="52"/>
        <v>0</v>
      </c>
      <c r="BW16" s="1097">
        <f t="shared" si="52"/>
        <v>0</v>
      </c>
      <c r="BX16" s="1097">
        <f t="shared" si="52"/>
        <v>0</v>
      </c>
      <c r="BY16" s="1098">
        <f t="shared" si="52"/>
        <v>0</v>
      </c>
      <c r="BZ16" s="1099">
        <f t="shared" si="52"/>
        <v>295096</v>
      </c>
      <c r="CA16" s="1097">
        <f t="shared" si="52"/>
        <v>228175</v>
      </c>
      <c r="CB16" s="1097">
        <f t="shared" si="52"/>
        <v>295096</v>
      </c>
      <c r="CC16" s="1098">
        <f t="shared" si="52"/>
        <v>228175</v>
      </c>
      <c r="CD16" s="1099">
        <f t="shared" si="52"/>
        <v>47187</v>
      </c>
      <c r="CE16" s="1095">
        <f t="shared" si="52"/>
        <v>58622</v>
      </c>
      <c r="CF16" s="1095">
        <f t="shared" si="52"/>
        <v>47187</v>
      </c>
      <c r="CG16" s="1095">
        <f t="shared" si="52"/>
        <v>58622</v>
      </c>
      <c r="CH16" s="1095">
        <f t="shared" si="52"/>
        <v>12960</v>
      </c>
      <c r="CI16" s="1095">
        <f t="shared" si="52"/>
        <v>14558</v>
      </c>
      <c r="CJ16" s="1095">
        <f t="shared" si="52"/>
        <v>12960</v>
      </c>
      <c r="CK16" s="1095">
        <f t="shared" si="52"/>
        <v>14558</v>
      </c>
      <c r="CL16" s="1095">
        <f t="shared" si="52"/>
        <v>80057</v>
      </c>
      <c r="CM16" s="1095">
        <f t="shared" si="52"/>
        <v>44273</v>
      </c>
      <c r="CN16" s="1095">
        <f t="shared" si="52"/>
        <v>80057</v>
      </c>
      <c r="CO16" s="1100">
        <f t="shared" si="52"/>
        <v>44273</v>
      </c>
      <c r="CP16" s="1101">
        <f aca="true" t="shared" si="53" ref="CP16:CS18">SUM(B16+F16+J16+N16+R16+V16+Z16+AD16+AH16+AL16+AP16+AT16+AX16+BB16+BF16+BJ16+BN16+BR16+BV16+BZ16+CD16+CH16+CL16)</f>
        <v>1383186</v>
      </c>
      <c r="CQ16" s="1102">
        <f t="shared" si="53"/>
        <v>1237046</v>
      </c>
      <c r="CR16" s="1102">
        <f t="shared" si="53"/>
        <v>1383186</v>
      </c>
      <c r="CS16" s="1103">
        <f t="shared" si="53"/>
        <v>1237046</v>
      </c>
      <c r="CT16" s="1104">
        <f>SUM(CT5:CT15)</f>
        <v>3522204</v>
      </c>
      <c r="CU16" s="1105">
        <f>SUM(CU5:CU15)</f>
        <v>3546979</v>
      </c>
      <c r="CV16" s="1105">
        <f>SUM(CV5:CV15)</f>
        <v>3522204</v>
      </c>
      <c r="CW16" s="1106">
        <f>SUM(CW5:CW15)</f>
        <v>3546979</v>
      </c>
      <c r="CX16" s="1107">
        <f t="shared" si="50"/>
        <v>4905390</v>
      </c>
      <c r="CY16" s="1107">
        <f t="shared" si="0"/>
        <v>4784025</v>
      </c>
      <c r="CZ16" s="1107">
        <f t="shared" si="0"/>
        <v>4905390</v>
      </c>
      <c r="DA16" s="1108">
        <f t="shared" si="0"/>
        <v>4784025</v>
      </c>
    </row>
    <row r="17" spans="1:105" s="1273" customFormat="1" ht="15" thickBot="1">
      <c r="A17" s="1248" t="s">
        <v>11</v>
      </c>
      <c r="B17" s="1249"/>
      <c r="C17" s="1250"/>
      <c r="D17" s="1250"/>
      <c r="E17" s="1528"/>
      <c r="F17" s="1254"/>
      <c r="G17" s="1252"/>
      <c r="H17" s="1252"/>
      <c r="I17" s="1253"/>
      <c r="J17" s="1251"/>
      <c r="K17" s="1252"/>
      <c r="L17" s="1252"/>
      <c r="M17" s="1253"/>
      <c r="N17" s="1254"/>
      <c r="O17" s="1252"/>
      <c r="P17" s="1252"/>
      <c r="Q17" s="1253"/>
      <c r="R17" s="1251"/>
      <c r="S17" s="1252"/>
      <c r="T17" s="1252"/>
      <c r="U17" s="1253"/>
      <c r="V17" s="1254"/>
      <c r="W17" s="1252"/>
      <c r="X17" s="1252"/>
      <c r="Y17" s="1253"/>
      <c r="Z17" s="1251">
        <v>219</v>
      </c>
      <c r="AA17" s="1252">
        <v>631</v>
      </c>
      <c r="AB17" s="1251">
        <v>219</v>
      </c>
      <c r="AC17" s="1253">
        <v>631</v>
      </c>
      <c r="AD17" s="1258"/>
      <c r="AE17" s="1256"/>
      <c r="AF17" s="1256"/>
      <c r="AG17" s="1257"/>
      <c r="AH17" s="1255">
        <v>1760</v>
      </c>
      <c r="AI17" s="1256">
        <v>2397</v>
      </c>
      <c r="AJ17" s="1255">
        <v>1760</v>
      </c>
      <c r="AK17" s="1257">
        <v>2397</v>
      </c>
      <c r="AL17" s="1255"/>
      <c r="AM17" s="1256"/>
      <c r="AN17" s="1256"/>
      <c r="AO17" s="1257"/>
      <c r="AP17" s="1255"/>
      <c r="AQ17" s="1256"/>
      <c r="AR17" s="1256"/>
      <c r="AS17" s="1257"/>
      <c r="AT17" s="1255"/>
      <c r="AU17" s="1256"/>
      <c r="AV17" s="1256"/>
      <c r="AW17" s="1257"/>
      <c r="AX17" s="1258"/>
      <c r="AY17" s="1256"/>
      <c r="AZ17" s="1256"/>
      <c r="BA17" s="1257"/>
      <c r="BB17" s="1251"/>
      <c r="BC17" s="1252"/>
      <c r="BD17" s="1252"/>
      <c r="BE17" s="1253"/>
      <c r="BF17" s="1251">
        <v>44</v>
      </c>
      <c r="BG17" s="1252">
        <v>55</v>
      </c>
      <c r="BH17" s="1251">
        <v>44</v>
      </c>
      <c r="BI17" s="1253">
        <v>55</v>
      </c>
      <c r="BJ17" s="1251"/>
      <c r="BK17" s="1252"/>
      <c r="BL17" s="1252"/>
      <c r="BM17" s="1253"/>
      <c r="BN17" s="1251">
        <v>-1</v>
      </c>
      <c r="BO17" s="1252">
        <v>-1</v>
      </c>
      <c r="BP17" s="1251">
        <v>-1</v>
      </c>
      <c r="BQ17" s="1252">
        <v>-1</v>
      </c>
      <c r="BR17" s="1251"/>
      <c r="BS17" s="1252"/>
      <c r="BT17" s="1252"/>
      <c r="BU17" s="1253"/>
      <c r="BV17" s="1259"/>
      <c r="BW17" s="1260"/>
      <c r="BX17" s="1260"/>
      <c r="BY17" s="1261"/>
      <c r="BZ17" s="1262"/>
      <c r="CA17" s="1263"/>
      <c r="CB17" s="1263"/>
      <c r="CC17" s="1264"/>
      <c r="CD17" s="1265"/>
      <c r="CE17" s="1266"/>
      <c r="CF17" s="1266"/>
      <c r="CG17" s="1267"/>
      <c r="CH17" s="1268"/>
      <c r="CI17" s="1269"/>
      <c r="CJ17" s="1269"/>
      <c r="CK17" s="1270"/>
      <c r="CL17" s="1254"/>
      <c r="CM17" s="1252"/>
      <c r="CN17" s="1252"/>
      <c r="CO17" s="1253"/>
      <c r="CP17" s="1258">
        <f t="shared" si="53"/>
        <v>2022</v>
      </c>
      <c r="CQ17" s="1258">
        <f t="shared" si="53"/>
        <v>3082</v>
      </c>
      <c r="CR17" s="1258">
        <f t="shared" si="53"/>
        <v>2022</v>
      </c>
      <c r="CS17" s="1258">
        <f t="shared" si="53"/>
        <v>3082</v>
      </c>
      <c r="CT17" s="1271"/>
      <c r="CU17" s="1269"/>
      <c r="CV17" s="1269"/>
      <c r="CW17" s="1270"/>
      <c r="CX17" s="1255">
        <f t="shared" si="50"/>
        <v>2022</v>
      </c>
      <c r="CY17" s="1255">
        <f t="shared" si="0"/>
        <v>3082</v>
      </c>
      <c r="CZ17" s="1255">
        <f t="shared" si="0"/>
        <v>2022</v>
      </c>
      <c r="DA17" s="1272">
        <f t="shared" si="0"/>
        <v>3082</v>
      </c>
    </row>
    <row r="18" spans="1:105" s="708" customFormat="1" ht="15" thickBot="1">
      <c r="A18" s="1246" t="s">
        <v>12</v>
      </c>
      <c r="B18" s="1095">
        <f>B16+B17</f>
        <v>50689</v>
      </c>
      <c r="C18" s="1095">
        <f aca="true" t="shared" si="54" ref="C18:BN18">C16+C17</f>
        <v>49340</v>
      </c>
      <c r="D18" s="1095">
        <f t="shared" si="54"/>
        <v>50689</v>
      </c>
      <c r="E18" s="1096">
        <f t="shared" si="54"/>
        <v>49340</v>
      </c>
      <c r="F18" s="1095">
        <f t="shared" si="54"/>
        <v>5763</v>
      </c>
      <c r="G18" s="1095">
        <f t="shared" si="54"/>
        <v>10379</v>
      </c>
      <c r="H18" s="1095">
        <f t="shared" si="54"/>
        <v>5763</v>
      </c>
      <c r="I18" s="1100">
        <f t="shared" si="54"/>
        <v>10379</v>
      </c>
      <c r="J18" s="1099">
        <f t="shared" si="54"/>
        <v>3694</v>
      </c>
      <c r="K18" s="1095">
        <f t="shared" si="54"/>
        <v>5775</v>
      </c>
      <c r="L18" s="1095">
        <f t="shared" si="54"/>
        <v>3694</v>
      </c>
      <c r="M18" s="1100">
        <f t="shared" si="54"/>
        <v>5775</v>
      </c>
      <c r="N18" s="1095">
        <f t="shared" si="54"/>
        <v>58718</v>
      </c>
      <c r="O18" s="1095">
        <f t="shared" si="54"/>
        <v>59190</v>
      </c>
      <c r="P18" s="1095">
        <f t="shared" si="54"/>
        <v>58718</v>
      </c>
      <c r="Q18" s="1100">
        <f t="shared" si="54"/>
        <v>59190</v>
      </c>
      <c r="R18" s="1099">
        <f t="shared" si="54"/>
        <v>62620</v>
      </c>
      <c r="S18" s="1095">
        <f t="shared" si="54"/>
        <v>27402</v>
      </c>
      <c r="T18" s="1095">
        <f t="shared" si="54"/>
        <v>62620</v>
      </c>
      <c r="U18" s="1100">
        <f t="shared" si="54"/>
        <v>27402</v>
      </c>
      <c r="V18" s="1095">
        <f t="shared" si="54"/>
        <v>23834</v>
      </c>
      <c r="W18" s="1095">
        <f t="shared" si="54"/>
        <v>17277</v>
      </c>
      <c r="X18" s="1095">
        <f t="shared" si="54"/>
        <v>23834</v>
      </c>
      <c r="Y18" s="1100">
        <f t="shared" si="54"/>
        <v>17277</v>
      </c>
      <c r="Z18" s="1099">
        <f t="shared" si="54"/>
        <v>10035</v>
      </c>
      <c r="AA18" s="1095">
        <f t="shared" si="54"/>
        <v>19291</v>
      </c>
      <c r="AB18" s="1095">
        <f t="shared" si="54"/>
        <v>10035</v>
      </c>
      <c r="AC18" s="1100">
        <f t="shared" si="54"/>
        <v>19291</v>
      </c>
      <c r="AD18" s="1095">
        <f t="shared" si="54"/>
        <v>13831</v>
      </c>
      <c r="AE18" s="1095">
        <f t="shared" si="54"/>
        <v>13448</v>
      </c>
      <c r="AF18" s="1095">
        <f t="shared" si="54"/>
        <v>13831</v>
      </c>
      <c r="AG18" s="1100">
        <f t="shared" si="54"/>
        <v>13448</v>
      </c>
      <c r="AH18" s="1099">
        <f t="shared" si="54"/>
        <v>38424</v>
      </c>
      <c r="AI18" s="1095">
        <f t="shared" si="54"/>
        <v>37487</v>
      </c>
      <c r="AJ18" s="1095">
        <f t="shared" si="54"/>
        <v>38424</v>
      </c>
      <c r="AK18" s="1100">
        <f t="shared" si="54"/>
        <v>37487</v>
      </c>
      <c r="AL18" s="1099">
        <f t="shared" si="54"/>
        <v>9644</v>
      </c>
      <c r="AM18" s="1095">
        <f t="shared" si="54"/>
        <v>11297</v>
      </c>
      <c r="AN18" s="1095">
        <f t="shared" si="54"/>
        <v>9644</v>
      </c>
      <c r="AO18" s="1100">
        <f t="shared" si="54"/>
        <v>11297</v>
      </c>
      <c r="AP18" s="1099">
        <f t="shared" si="54"/>
        <v>203318</v>
      </c>
      <c r="AQ18" s="1095">
        <f t="shared" si="54"/>
        <v>202533</v>
      </c>
      <c r="AR18" s="1095">
        <f t="shared" si="54"/>
        <v>203318</v>
      </c>
      <c r="AS18" s="1100">
        <f t="shared" si="54"/>
        <v>202533</v>
      </c>
      <c r="AT18" s="1099">
        <f t="shared" si="54"/>
        <v>163331</v>
      </c>
      <c r="AU18" s="1095">
        <f t="shared" si="54"/>
        <v>161413</v>
      </c>
      <c r="AV18" s="1095">
        <f t="shared" si="54"/>
        <v>163331</v>
      </c>
      <c r="AW18" s="1100">
        <f t="shared" si="54"/>
        <v>161413</v>
      </c>
      <c r="AX18" s="1095">
        <f t="shared" si="54"/>
        <v>11396</v>
      </c>
      <c r="AY18" s="1095">
        <f t="shared" si="54"/>
        <v>17530</v>
      </c>
      <c r="AZ18" s="1095">
        <f t="shared" si="54"/>
        <v>11396</v>
      </c>
      <c r="BA18" s="1100">
        <f t="shared" si="54"/>
        <v>17530</v>
      </c>
      <c r="BB18" s="1099">
        <f t="shared" si="54"/>
        <v>35001</v>
      </c>
      <c r="BC18" s="1095">
        <f t="shared" si="54"/>
        <v>30136</v>
      </c>
      <c r="BD18" s="1095">
        <f t="shared" si="54"/>
        <v>35001</v>
      </c>
      <c r="BE18" s="1100">
        <f t="shared" si="54"/>
        <v>30136</v>
      </c>
      <c r="BF18" s="1099">
        <f t="shared" si="54"/>
        <v>54113</v>
      </c>
      <c r="BG18" s="1095">
        <f t="shared" si="54"/>
        <v>43136</v>
      </c>
      <c r="BH18" s="1095">
        <f t="shared" si="54"/>
        <v>54113</v>
      </c>
      <c r="BI18" s="1100">
        <f t="shared" si="54"/>
        <v>43136</v>
      </c>
      <c r="BJ18" s="1099">
        <f t="shared" si="54"/>
        <v>113213</v>
      </c>
      <c r="BK18" s="1095">
        <f t="shared" si="54"/>
        <v>103323</v>
      </c>
      <c r="BL18" s="1095">
        <f t="shared" si="54"/>
        <v>113213</v>
      </c>
      <c r="BM18" s="1100">
        <f t="shared" si="54"/>
        <v>103323</v>
      </c>
      <c r="BN18" s="1099">
        <f t="shared" si="54"/>
        <v>39504</v>
      </c>
      <c r="BO18" s="1095">
        <f aca="true" t="shared" si="55" ref="BO18:CO18">BO16+BO17</f>
        <v>37636</v>
      </c>
      <c r="BP18" s="1095">
        <f t="shared" si="55"/>
        <v>39504</v>
      </c>
      <c r="BQ18" s="1100">
        <f t="shared" si="55"/>
        <v>37636</v>
      </c>
      <c r="BR18" s="1095">
        <f t="shared" si="55"/>
        <v>52780</v>
      </c>
      <c r="BS18" s="1095">
        <f t="shared" si="55"/>
        <v>47907</v>
      </c>
      <c r="BT18" s="1095">
        <f t="shared" si="55"/>
        <v>52780</v>
      </c>
      <c r="BU18" s="1100">
        <f t="shared" si="55"/>
        <v>47907</v>
      </c>
      <c r="BV18" s="1095">
        <f t="shared" si="55"/>
        <v>0</v>
      </c>
      <c r="BW18" s="1097">
        <f t="shared" si="55"/>
        <v>0</v>
      </c>
      <c r="BX18" s="1097">
        <f t="shared" si="55"/>
        <v>0</v>
      </c>
      <c r="BY18" s="1098">
        <f t="shared" si="55"/>
        <v>0</v>
      </c>
      <c r="BZ18" s="1099">
        <f t="shared" si="55"/>
        <v>295096</v>
      </c>
      <c r="CA18" s="1097">
        <f t="shared" si="55"/>
        <v>228175</v>
      </c>
      <c r="CB18" s="1097">
        <f t="shared" si="55"/>
        <v>295096</v>
      </c>
      <c r="CC18" s="1098">
        <f t="shared" si="55"/>
        <v>228175</v>
      </c>
      <c r="CD18" s="1099">
        <f t="shared" si="55"/>
        <v>47187</v>
      </c>
      <c r="CE18" s="1095">
        <f t="shared" si="55"/>
        <v>58622</v>
      </c>
      <c r="CF18" s="1095">
        <f t="shared" si="55"/>
        <v>47187</v>
      </c>
      <c r="CG18" s="1095">
        <f t="shared" si="55"/>
        <v>58622</v>
      </c>
      <c r="CH18" s="1095">
        <f t="shared" si="55"/>
        <v>12960</v>
      </c>
      <c r="CI18" s="1095">
        <f t="shared" si="55"/>
        <v>14558</v>
      </c>
      <c r="CJ18" s="1095">
        <f t="shared" si="55"/>
        <v>12960</v>
      </c>
      <c r="CK18" s="1095">
        <f t="shared" si="55"/>
        <v>14558</v>
      </c>
      <c r="CL18" s="1095">
        <f t="shared" si="55"/>
        <v>80057</v>
      </c>
      <c r="CM18" s="1095">
        <f t="shared" si="55"/>
        <v>44273</v>
      </c>
      <c r="CN18" s="1095">
        <f t="shared" si="55"/>
        <v>80057</v>
      </c>
      <c r="CO18" s="1100">
        <f t="shared" si="55"/>
        <v>44273</v>
      </c>
      <c r="CP18" s="1101">
        <f t="shared" si="53"/>
        <v>1385208</v>
      </c>
      <c r="CQ18" s="1102">
        <f t="shared" si="53"/>
        <v>1240128</v>
      </c>
      <c r="CR18" s="1102">
        <f t="shared" si="53"/>
        <v>1385208</v>
      </c>
      <c r="CS18" s="1103">
        <f t="shared" si="53"/>
        <v>1240128</v>
      </c>
      <c r="CT18" s="1101">
        <f>CT16+CT17</f>
        <v>3522204</v>
      </c>
      <c r="CU18" s="1107">
        <f>CU16+CU17</f>
        <v>3546979</v>
      </c>
      <c r="CV18" s="1107">
        <f>CV16+CV17</f>
        <v>3522204</v>
      </c>
      <c r="CW18" s="1108">
        <f>CW16+CW17</f>
        <v>3546979</v>
      </c>
      <c r="CX18" s="1107">
        <f t="shared" si="50"/>
        <v>4907412</v>
      </c>
      <c r="CY18" s="1107">
        <f t="shared" si="0"/>
        <v>4787107</v>
      </c>
      <c r="CZ18" s="1107">
        <f t="shared" si="0"/>
        <v>4907412</v>
      </c>
      <c r="DA18" s="1108">
        <f t="shared" si="0"/>
        <v>4787107</v>
      </c>
    </row>
    <row r="20" ht="14.25">
      <c r="CQ20" s="51"/>
    </row>
  </sheetData>
  <sheetProtection/>
  <mergeCells count="29">
    <mergeCell ref="R3:U3"/>
    <mergeCell ref="V3:Y3"/>
    <mergeCell ref="Z3:AC3"/>
    <mergeCell ref="BB3:BE3"/>
    <mergeCell ref="BF3:BI3"/>
    <mergeCell ref="BJ3:BM3"/>
    <mergeCell ref="AP3:AS3"/>
    <mergeCell ref="AT3:AW3"/>
    <mergeCell ref="AX3:BA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GK1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:B16384"/>
    </sheetView>
  </sheetViews>
  <sheetFormatPr defaultColWidth="9.140625" defaultRowHeight="15"/>
  <cols>
    <col min="1" max="1" width="52.421875" style="419" bestFit="1" customWidth="1"/>
    <col min="2" max="2" width="8.140625" style="419" bestFit="1" customWidth="1"/>
    <col min="3" max="9" width="11.57421875" style="419" customWidth="1"/>
    <col min="10" max="10" width="9.28125" style="419" bestFit="1" customWidth="1"/>
    <col min="11" max="17" width="9.28125" style="419" customWidth="1"/>
    <col min="18" max="18" width="9.28125" style="419" bestFit="1" customWidth="1"/>
    <col min="19" max="24" width="9.28125" style="419" customWidth="1"/>
    <col min="25" max="25" width="11.7109375" style="419" customWidth="1"/>
    <col min="26" max="26" width="9.28125" style="419" bestFit="1" customWidth="1"/>
    <col min="27" max="33" width="9.28125" style="419" customWidth="1"/>
    <col min="34" max="35" width="8.28125" style="419" customWidth="1"/>
    <col min="36" max="36" width="8.00390625" style="419" customWidth="1"/>
    <col min="37" max="37" width="9.28125" style="419" customWidth="1"/>
    <col min="38" max="38" width="7.140625" style="419" customWidth="1"/>
    <col min="39" max="39" width="8.57421875" style="419" customWidth="1"/>
    <col min="40" max="41" width="9.28125" style="419" customWidth="1"/>
    <col min="42" max="42" width="9.28125" style="419" bestFit="1" customWidth="1"/>
    <col min="43" max="49" width="9.28125" style="419" customWidth="1"/>
    <col min="50" max="51" width="9.00390625" style="419" customWidth="1"/>
    <col min="52" max="52" width="10.140625" style="419" customWidth="1"/>
    <col min="53" max="53" width="9.00390625" style="419" customWidth="1"/>
    <col min="54" max="54" width="8.7109375" style="419" customWidth="1"/>
    <col min="55" max="55" width="8.8515625" style="419" customWidth="1"/>
    <col min="56" max="57" width="10.140625" style="419" customWidth="1"/>
    <col min="58" max="58" width="11.00390625" style="419" customWidth="1"/>
    <col min="59" max="59" width="9.28125" style="419" customWidth="1"/>
    <col min="60" max="60" width="10.00390625" style="419" customWidth="1"/>
    <col min="61" max="61" width="10.140625" style="419" customWidth="1"/>
    <col min="62" max="65" width="11.00390625" style="419" customWidth="1"/>
    <col min="66" max="66" width="9.28125" style="419" bestFit="1" customWidth="1"/>
    <col min="67" max="73" width="9.28125" style="419" customWidth="1"/>
    <col min="74" max="74" width="9.28125" style="419" bestFit="1" customWidth="1"/>
    <col min="75" max="80" width="9.28125" style="419" customWidth="1"/>
    <col min="81" max="81" width="9.28125" style="1182" customWidth="1"/>
    <col min="82" max="82" width="9.28125" style="419" bestFit="1" customWidth="1"/>
    <col min="83" max="83" width="8.140625" style="419" customWidth="1"/>
    <col min="84" max="84" width="7.8515625" style="419" customWidth="1"/>
    <col min="85" max="85" width="8.28125" style="419" customWidth="1"/>
    <col min="86" max="86" width="8.140625" style="419" customWidth="1"/>
    <col min="87" max="87" width="8.28125" style="419" customWidth="1"/>
    <col min="88" max="88" width="8.00390625" style="419" customWidth="1"/>
    <col min="89" max="89" width="9.28125" style="419" customWidth="1"/>
    <col min="90" max="97" width="11.7109375" style="419" customWidth="1"/>
    <col min="98" max="98" width="9.28125" style="419" bestFit="1" customWidth="1"/>
    <col min="99" max="99" width="8.421875" style="419" customWidth="1"/>
    <col min="100" max="100" width="9.28125" style="419" customWidth="1"/>
    <col min="101" max="102" width="7.7109375" style="419" customWidth="1"/>
    <col min="103" max="103" width="7.00390625" style="419" customWidth="1"/>
    <col min="104" max="105" width="9.28125" style="419" customWidth="1"/>
    <col min="106" max="106" width="8.421875" style="419" customWidth="1"/>
    <col min="107" max="109" width="8.28125" style="419" customWidth="1"/>
    <col min="110" max="110" width="7.28125" style="419" customWidth="1"/>
    <col min="111" max="111" width="7.140625" style="419" customWidth="1"/>
    <col min="112" max="113" width="9.28125" style="419" customWidth="1"/>
    <col min="114" max="121" width="12.00390625" style="419" customWidth="1"/>
    <col min="122" max="122" width="9.28125" style="419" bestFit="1" customWidth="1"/>
    <col min="123" max="129" width="9.28125" style="419" customWidth="1"/>
    <col min="130" max="130" width="9.28125" style="419" bestFit="1" customWidth="1"/>
    <col min="131" max="131" width="8.57421875" style="419" customWidth="1"/>
    <col min="132" max="132" width="8.28125" style="419" customWidth="1"/>
    <col min="133" max="133" width="9.28125" style="419" customWidth="1"/>
    <col min="134" max="134" width="8.421875" style="419" customWidth="1"/>
    <col min="135" max="135" width="8.28125" style="419" customWidth="1"/>
    <col min="136" max="137" width="9.28125" style="419" customWidth="1"/>
    <col min="138" max="138" width="9.28125" style="419" bestFit="1" customWidth="1"/>
    <col min="139" max="145" width="9.28125" style="419" customWidth="1"/>
    <col min="146" max="153" width="9.140625" style="419" customWidth="1"/>
    <col min="154" max="154" width="10.140625" style="419" customWidth="1"/>
    <col min="155" max="155" width="9.8515625" style="419" customWidth="1"/>
    <col min="156" max="156" width="10.00390625" style="419" customWidth="1"/>
    <col min="157" max="161" width="11.421875" style="419" customWidth="1"/>
    <col min="162" max="162" width="9.28125" style="419" bestFit="1" customWidth="1"/>
    <col min="163" max="169" width="9.28125" style="419" customWidth="1"/>
    <col min="170" max="170" width="9.28125" style="419" bestFit="1" customWidth="1"/>
    <col min="171" max="172" width="8.28125" style="419" customWidth="1"/>
    <col min="173" max="173" width="8.140625" style="419" customWidth="1"/>
    <col min="174" max="174" width="7.57421875" style="419" customWidth="1"/>
    <col min="175" max="175" width="8.28125" style="419" customWidth="1"/>
    <col min="176" max="177" width="9.28125" style="419" customWidth="1"/>
    <col min="178" max="178" width="9.28125" style="419" bestFit="1" customWidth="1"/>
    <col min="179" max="185" width="9.28125" style="419" customWidth="1"/>
    <col min="186" max="186" width="11.00390625" style="419" customWidth="1"/>
    <col min="187" max="193" width="9.57421875" style="419" customWidth="1"/>
    <col min="194" max="16384" width="9.140625" style="419" customWidth="1"/>
  </cols>
  <sheetData>
    <row r="1" spans="1:193" s="534" customFormat="1" ht="15" customHeight="1">
      <c r="A1" s="533" t="s">
        <v>640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1178"/>
      <c r="CD1" s="531"/>
      <c r="CE1" s="531"/>
      <c r="CF1" s="531"/>
      <c r="CG1" s="531"/>
      <c r="CH1" s="531"/>
      <c r="CI1" s="531"/>
      <c r="CJ1" s="531"/>
      <c r="CK1" s="531"/>
      <c r="CL1" s="531"/>
      <c r="CM1" s="531"/>
      <c r="CN1" s="531"/>
      <c r="CO1" s="531"/>
      <c r="CP1" s="531"/>
      <c r="CQ1" s="531"/>
      <c r="CR1" s="531"/>
      <c r="CS1" s="531"/>
      <c r="CT1" s="531"/>
      <c r="CU1" s="531"/>
      <c r="CV1" s="531"/>
      <c r="CW1" s="531"/>
      <c r="CX1" s="531"/>
      <c r="CY1" s="531"/>
      <c r="CZ1" s="531"/>
      <c r="DA1" s="531"/>
      <c r="DB1" s="531"/>
      <c r="DC1" s="531"/>
      <c r="DD1" s="531"/>
      <c r="DE1" s="531"/>
      <c r="DF1" s="531"/>
      <c r="DG1" s="531"/>
      <c r="DH1" s="531"/>
      <c r="DI1" s="531"/>
      <c r="DJ1" s="531"/>
      <c r="DK1" s="531"/>
      <c r="DL1" s="531"/>
      <c r="DM1" s="531"/>
      <c r="DN1" s="531"/>
      <c r="DO1" s="531"/>
      <c r="DP1" s="531"/>
      <c r="DQ1" s="531"/>
      <c r="DR1" s="531"/>
      <c r="DS1" s="531"/>
      <c r="DT1" s="531"/>
      <c r="DU1" s="531"/>
      <c r="DV1" s="531"/>
      <c r="DW1" s="531"/>
      <c r="DX1" s="531"/>
      <c r="DY1" s="531"/>
      <c r="DZ1" s="531"/>
      <c r="EA1" s="531"/>
      <c r="EB1" s="531"/>
      <c r="EC1" s="531"/>
      <c r="ED1" s="531"/>
      <c r="EE1" s="531"/>
      <c r="EF1" s="531"/>
      <c r="EG1" s="531"/>
      <c r="EH1" s="531"/>
      <c r="EI1" s="531"/>
      <c r="EJ1" s="531"/>
      <c r="EK1" s="531"/>
      <c r="EL1" s="531"/>
      <c r="EM1" s="531"/>
      <c r="EN1" s="531"/>
      <c r="EO1" s="531"/>
      <c r="EP1" s="531"/>
      <c r="EQ1" s="531"/>
      <c r="ER1" s="531"/>
      <c r="ES1" s="531"/>
      <c r="ET1" s="531"/>
      <c r="EU1" s="531"/>
      <c r="EV1" s="531"/>
      <c r="EW1" s="531"/>
      <c r="EX1" s="531"/>
      <c r="EY1" s="531"/>
      <c r="EZ1" s="531"/>
      <c r="FA1" s="531"/>
      <c r="FB1" s="531"/>
      <c r="FC1" s="531"/>
      <c r="FD1" s="531"/>
      <c r="FE1" s="531"/>
      <c r="FF1" s="531"/>
      <c r="FG1" s="531"/>
      <c r="FH1" s="531"/>
      <c r="FI1" s="531"/>
      <c r="FJ1" s="531"/>
      <c r="FK1" s="531"/>
      <c r="FL1" s="531"/>
      <c r="FM1" s="531"/>
      <c r="FN1" s="531"/>
      <c r="FO1" s="531"/>
      <c r="FP1" s="531"/>
      <c r="FQ1" s="531"/>
      <c r="FR1" s="531"/>
      <c r="FS1" s="531"/>
      <c r="FT1" s="531"/>
      <c r="FU1" s="531"/>
      <c r="FV1" s="531"/>
      <c r="FW1" s="531"/>
      <c r="FX1" s="531"/>
      <c r="FY1" s="531"/>
      <c r="FZ1" s="531"/>
      <c r="GA1" s="531"/>
      <c r="GB1" s="531"/>
      <c r="GC1" s="531"/>
      <c r="GD1" s="531"/>
      <c r="GE1" s="531"/>
      <c r="GF1" s="531"/>
      <c r="GG1" s="531"/>
      <c r="GH1" s="531"/>
      <c r="GI1" s="531"/>
      <c r="GJ1" s="531"/>
      <c r="GK1" s="531"/>
    </row>
    <row r="2" spans="1:193" ht="8.25" customHeight="1" thickBot="1">
      <c r="A2" s="532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1179"/>
      <c r="CD2" s="532"/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  <c r="CV2" s="532"/>
      <c r="CW2" s="532"/>
      <c r="CX2" s="532"/>
      <c r="CY2" s="532"/>
      <c r="CZ2" s="532"/>
      <c r="DA2" s="532"/>
      <c r="DB2" s="532"/>
      <c r="DC2" s="532"/>
      <c r="DD2" s="532"/>
      <c r="DE2" s="532"/>
      <c r="DF2" s="532"/>
      <c r="DG2" s="532"/>
      <c r="DH2" s="532"/>
      <c r="DI2" s="532"/>
      <c r="DJ2" s="532"/>
      <c r="DK2" s="532"/>
      <c r="DL2" s="532"/>
      <c r="DM2" s="532"/>
      <c r="DN2" s="532"/>
      <c r="DO2" s="532"/>
      <c r="DP2" s="532"/>
      <c r="DQ2" s="532"/>
      <c r="DR2" s="532"/>
      <c r="DS2" s="532"/>
      <c r="DT2" s="532"/>
      <c r="DU2" s="532"/>
      <c r="DV2" s="532"/>
      <c r="DW2" s="532"/>
      <c r="DX2" s="532"/>
      <c r="DY2" s="532"/>
      <c r="DZ2" s="532"/>
      <c r="EA2" s="532"/>
      <c r="EB2" s="532"/>
      <c r="EC2" s="532"/>
      <c r="ED2" s="532"/>
      <c r="EE2" s="532"/>
      <c r="EF2" s="532"/>
      <c r="EG2" s="532"/>
      <c r="EH2" s="532"/>
      <c r="EI2" s="532"/>
      <c r="EJ2" s="532"/>
      <c r="EK2" s="532"/>
      <c r="EL2" s="532"/>
      <c r="EM2" s="532"/>
      <c r="EN2" s="532"/>
      <c r="EO2" s="532"/>
      <c r="EP2" s="532"/>
      <c r="EQ2" s="532"/>
      <c r="ER2" s="532"/>
      <c r="ES2" s="532"/>
      <c r="ET2" s="532"/>
      <c r="EU2" s="532"/>
      <c r="EV2" s="532"/>
      <c r="EW2" s="532"/>
      <c r="EX2" s="532"/>
      <c r="EY2" s="532"/>
      <c r="EZ2" s="532"/>
      <c r="FA2" s="532"/>
      <c r="FB2" s="532"/>
      <c r="FC2" s="532"/>
      <c r="FD2" s="532"/>
      <c r="FE2" s="532"/>
      <c r="FF2" s="532"/>
      <c r="FG2" s="532"/>
      <c r="FH2" s="532"/>
      <c r="FI2" s="532"/>
      <c r="FJ2" s="532"/>
      <c r="FK2" s="532"/>
      <c r="FL2" s="532"/>
      <c r="FM2" s="532"/>
      <c r="FN2" s="532"/>
      <c r="FO2" s="532"/>
      <c r="FP2" s="532"/>
      <c r="FQ2" s="532"/>
      <c r="FR2" s="532"/>
      <c r="FS2" s="532"/>
      <c r="FT2" s="532"/>
      <c r="FU2" s="532"/>
      <c r="FV2" s="532"/>
      <c r="FW2" s="532"/>
      <c r="FX2" s="532"/>
      <c r="FY2" s="532"/>
      <c r="FZ2" s="532"/>
      <c r="GA2" s="532"/>
      <c r="GB2" s="532"/>
      <c r="GC2" s="532"/>
      <c r="GD2" s="532"/>
      <c r="GE2" s="532"/>
      <c r="GF2" s="532"/>
      <c r="GG2" s="532"/>
      <c r="GH2" s="532"/>
      <c r="GI2" s="532"/>
      <c r="GJ2" s="532"/>
      <c r="GK2" s="532"/>
    </row>
    <row r="3" spans="1:193" ht="15" customHeight="1" thickBot="1">
      <c r="A3" s="2130" t="s">
        <v>0</v>
      </c>
      <c r="B3" s="2132" t="s">
        <v>427</v>
      </c>
      <c r="C3" s="2133"/>
      <c r="D3" s="2133"/>
      <c r="E3" s="2133"/>
      <c r="F3" s="2133"/>
      <c r="G3" s="2133"/>
      <c r="H3" s="2133"/>
      <c r="I3" s="2134"/>
      <c r="J3" s="2120" t="s">
        <v>465</v>
      </c>
      <c r="K3" s="1907"/>
      <c r="L3" s="1907"/>
      <c r="M3" s="1907"/>
      <c r="N3" s="1907"/>
      <c r="O3" s="1907"/>
      <c r="P3" s="1907"/>
      <c r="Q3" s="1908"/>
      <c r="R3" s="2120" t="s">
        <v>601</v>
      </c>
      <c r="S3" s="1907"/>
      <c r="T3" s="1907"/>
      <c r="U3" s="1907"/>
      <c r="V3" s="1907"/>
      <c r="W3" s="1907"/>
      <c r="X3" s="1907"/>
      <c r="Y3" s="1908"/>
      <c r="Z3" s="1907" t="s">
        <v>602</v>
      </c>
      <c r="AA3" s="1907"/>
      <c r="AB3" s="1907"/>
      <c r="AC3" s="1907"/>
      <c r="AD3" s="1907"/>
      <c r="AE3" s="1907"/>
      <c r="AF3" s="1907"/>
      <c r="AG3" s="1907"/>
      <c r="AH3" s="2120" t="s">
        <v>191</v>
      </c>
      <c r="AI3" s="1907"/>
      <c r="AJ3" s="1907"/>
      <c r="AK3" s="1907"/>
      <c r="AL3" s="1907"/>
      <c r="AM3" s="1907"/>
      <c r="AN3" s="1907"/>
      <c r="AO3" s="1908"/>
      <c r="AP3" s="2120" t="s">
        <v>435</v>
      </c>
      <c r="AQ3" s="1907"/>
      <c r="AR3" s="1907"/>
      <c r="AS3" s="1907"/>
      <c r="AT3" s="1907"/>
      <c r="AU3" s="1907"/>
      <c r="AV3" s="1907"/>
      <c r="AW3" s="1908"/>
      <c r="AX3" s="2120" t="s">
        <v>570</v>
      </c>
      <c r="AY3" s="1907"/>
      <c r="AZ3" s="1907"/>
      <c r="BA3" s="1907"/>
      <c r="BB3" s="1907"/>
      <c r="BC3" s="1907"/>
      <c r="BD3" s="1907"/>
      <c r="BE3" s="1908"/>
      <c r="BF3" s="2120" t="s">
        <v>194</v>
      </c>
      <c r="BG3" s="1907"/>
      <c r="BH3" s="1907"/>
      <c r="BI3" s="1907"/>
      <c r="BJ3" s="1907"/>
      <c r="BK3" s="1907"/>
      <c r="BL3" s="1907"/>
      <c r="BM3" s="1907"/>
      <c r="BN3" s="2120" t="s">
        <v>464</v>
      </c>
      <c r="BO3" s="1907"/>
      <c r="BP3" s="1907"/>
      <c r="BQ3" s="1907"/>
      <c r="BR3" s="1907"/>
      <c r="BS3" s="1907"/>
      <c r="BT3" s="1907"/>
      <c r="BU3" s="1907"/>
      <c r="BV3" s="2120" t="s">
        <v>196</v>
      </c>
      <c r="BW3" s="1907"/>
      <c r="BX3" s="1907"/>
      <c r="BY3" s="1907"/>
      <c r="BZ3" s="1907"/>
      <c r="CA3" s="1907"/>
      <c r="CB3" s="1907"/>
      <c r="CC3" s="1907"/>
      <c r="CD3" s="2120" t="s">
        <v>463</v>
      </c>
      <c r="CE3" s="1907"/>
      <c r="CF3" s="1907"/>
      <c r="CG3" s="1907"/>
      <c r="CH3" s="1907"/>
      <c r="CI3" s="1907"/>
      <c r="CJ3" s="1907"/>
      <c r="CK3" s="1908"/>
      <c r="CL3" s="2120" t="s">
        <v>198</v>
      </c>
      <c r="CM3" s="1907"/>
      <c r="CN3" s="1907"/>
      <c r="CO3" s="1907"/>
      <c r="CP3" s="1907"/>
      <c r="CQ3" s="1907"/>
      <c r="CR3" s="1907"/>
      <c r="CS3" s="1908"/>
      <c r="CT3" s="1907" t="s">
        <v>199</v>
      </c>
      <c r="CU3" s="1907"/>
      <c r="CV3" s="1907"/>
      <c r="CW3" s="1907"/>
      <c r="CX3" s="1907"/>
      <c r="CY3" s="1907"/>
      <c r="CZ3" s="1907"/>
      <c r="DA3" s="1908"/>
      <c r="DB3" s="1907" t="s">
        <v>603</v>
      </c>
      <c r="DC3" s="1907"/>
      <c r="DD3" s="1907"/>
      <c r="DE3" s="1907"/>
      <c r="DF3" s="1907"/>
      <c r="DG3" s="1907"/>
      <c r="DH3" s="1907"/>
      <c r="DI3" s="1908"/>
      <c r="DJ3" s="1905" t="s">
        <v>201</v>
      </c>
      <c r="DK3" s="1905"/>
      <c r="DL3" s="1905"/>
      <c r="DM3" s="1905"/>
      <c r="DN3" s="1905"/>
      <c r="DO3" s="1905"/>
      <c r="DP3" s="1905"/>
      <c r="DQ3" s="1906"/>
      <c r="DR3" s="1907" t="s">
        <v>604</v>
      </c>
      <c r="DS3" s="1907"/>
      <c r="DT3" s="1907"/>
      <c r="DU3" s="1907"/>
      <c r="DV3" s="1907"/>
      <c r="DW3" s="1907"/>
      <c r="DX3" s="1907"/>
      <c r="DY3" s="1908"/>
      <c r="DZ3" s="1907" t="s">
        <v>438</v>
      </c>
      <c r="EA3" s="1907"/>
      <c r="EB3" s="1907"/>
      <c r="EC3" s="1907"/>
      <c r="ED3" s="1907"/>
      <c r="EE3" s="1907"/>
      <c r="EF3" s="1907"/>
      <c r="EG3" s="1908"/>
      <c r="EH3" s="2120" t="s">
        <v>204</v>
      </c>
      <c r="EI3" s="1907"/>
      <c r="EJ3" s="1907"/>
      <c r="EK3" s="1907"/>
      <c r="EL3" s="1907"/>
      <c r="EM3" s="1907"/>
      <c r="EN3" s="1907"/>
      <c r="EO3" s="1908"/>
      <c r="EP3" s="2121" t="s">
        <v>205</v>
      </c>
      <c r="EQ3" s="1905"/>
      <c r="ER3" s="1905"/>
      <c r="ES3" s="1905"/>
      <c r="ET3" s="1905"/>
      <c r="EU3" s="1905"/>
      <c r="EV3" s="1905"/>
      <c r="EW3" s="1906"/>
      <c r="EX3" s="2127" t="s">
        <v>605</v>
      </c>
      <c r="EY3" s="2128"/>
      <c r="EZ3" s="2128"/>
      <c r="FA3" s="2128"/>
      <c r="FB3" s="2128"/>
      <c r="FC3" s="2128"/>
      <c r="FD3" s="2128"/>
      <c r="FE3" s="2129"/>
      <c r="FF3" s="2120" t="s">
        <v>436</v>
      </c>
      <c r="FG3" s="1907"/>
      <c r="FH3" s="1907"/>
      <c r="FI3" s="1907"/>
      <c r="FJ3" s="1907"/>
      <c r="FK3" s="1907"/>
      <c r="FL3" s="1907"/>
      <c r="FM3" s="1908"/>
      <c r="FN3" s="2120" t="s">
        <v>460</v>
      </c>
      <c r="FO3" s="1907"/>
      <c r="FP3" s="1907"/>
      <c r="FQ3" s="1907"/>
      <c r="FR3" s="1907"/>
      <c r="FS3" s="1907"/>
      <c r="FT3" s="1907"/>
      <c r="FU3" s="1908"/>
      <c r="FV3" s="2120" t="s">
        <v>571</v>
      </c>
      <c r="FW3" s="1907"/>
      <c r="FX3" s="1907"/>
      <c r="FY3" s="1907"/>
      <c r="FZ3" s="1907"/>
      <c r="GA3" s="1907"/>
      <c r="GB3" s="1907"/>
      <c r="GC3" s="1908"/>
      <c r="GD3" s="2121" t="s">
        <v>210</v>
      </c>
      <c r="GE3" s="1905"/>
      <c r="GF3" s="1905"/>
      <c r="GG3" s="1905"/>
      <c r="GH3" s="1905"/>
      <c r="GI3" s="1905"/>
      <c r="GJ3" s="1905"/>
      <c r="GK3" s="1906"/>
    </row>
    <row r="4" spans="1:193" s="952" customFormat="1" ht="68.25" thickBot="1">
      <c r="A4" s="2131"/>
      <c r="B4" s="944" t="s">
        <v>221</v>
      </c>
      <c r="C4" s="945" t="s">
        <v>222</v>
      </c>
      <c r="D4" s="945" t="s">
        <v>223</v>
      </c>
      <c r="E4" s="945" t="s">
        <v>224</v>
      </c>
      <c r="F4" s="945" t="s">
        <v>225</v>
      </c>
      <c r="G4" s="945" t="s">
        <v>226</v>
      </c>
      <c r="H4" s="946" t="s">
        <v>227</v>
      </c>
      <c r="I4" s="947" t="s">
        <v>228</v>
      </c>
      <c r="J4" s="948" t="s">
        <v>221</v>
      </c>
      <c r="K4" s="949" t="s">
        <v>222</v>
      </c>
      <c r="L4" s="949" t="s">
        <v>223</v>
      </c>
      <c r="M4" s="949" t="s">
        <v>224</v>
      </c>
      <c r="N4" s="949" t="s">
        <v>225</v>
      </c>
      <c r="O4" s="949" t="s">
        <v>226</v>
      </c>
      <c r="P4" s="947" t="s">
        <v>227</v>
      </c>
      <c r="Q4" s="950" t="s">
        <v>228</v>
      </c>
      <c r="R4" s="948" t="s">
        <v>221</v>
      </c>
      <c r="S4" s="949" t="s">
        <v>222</v>
      </c>
      <c r="T4" s="949" t="s">
        <v>223</v>
      </c>
      <c r="U4" s="949" t="s">
        <v>224</v>
      </c>
      <c r="V4" s="949" t="s">
        <v>225</v>
      </c>
      <c r="W4" s="949" t="s">
        <v>226</v>
      </c>
      <c r="X4" s="947" t="s">
        <v>227</v>
      </c>
      <c r="Y4" s="950" t="s">
        <v>228</v>
      </c>
      <c r="Z4" s="948" t="s">
        <v>221</v>
      </c>
      <c r="AA4" s="949" t="s">
        <v>222</v>
      </c>
      <c r="AB4" s="949" t="s">
        <v>223</v>
      </c>
      <c r="AC4" s="949" t="s">
        <v>224</v>
      </c>
      <c r="AD4" s="949" t="s">
        <v>225</v>
      </c>
      <c r="AE4" s="949" t="s">
        <v>226</v>
      </c>
      <c r="AF4" s="947" t="s">
        <v>227</v>
      </c>
      <c r="AG4" s="947" t="s">
        <v>228</v>
      </c>
      <c r="AH4" s="948" t="s">
        <v>221</v>
      </c>
      <c r="AI4" s="949" t="s">
        <v>222</v>
      </c>
      <c r="AJ4" s="949" t="s">
        <v>223</v>
      </c>
      <c r="AK4" s="949" t="s">
        <v>224</v>
      </c>
      <c r="AL4" s="949" t="s">
        <v>225</v>
      </c>
      <c r="AM4" s="949" t="s">
        <v>226</v>
      </c>
      <c r="AN4" s="947" t="s">
        <v>227</v>
      </c>
      <c r="AO4" s="950" t="s">
        <v>228</v>
      </c>
      <c r="AP4" s="948" t="s">
        <v>221</v>
      </c>
      <c r="AQ4" s="949" t="s">
        <v>222</v>
      </c>
      <c r="AR4" s="949" t="s">
        <v>223</v>
      </c>
      <c r="AS4" s="949" t="s">
        <v>224</v>
      </c>
      <c r="AT4" s="949" t="s">
        <v>225</v>
      </c>
      <c r="AU4" s="949" t="s">
        <v>226</v>
      </c>
      <c r="AV4" s="947" t="s">
        <v>227</v>
      </c>
      <c r="AW4" s="950" t="s">
        <v>228</v>
      </c>
      <c r="AX4" s="948" t="s">
        <v>221</v>
      </c>
      <c r="AY4" s="949" t="s">
        <v>222</v>
      </c>
      <c r="AZ4" s="949" t="s">
        <v>223</v>
      </c>
      <c r="BA4" s="949" t="s">
        <v>224</v>
      </c>
      <c r="BB4" s="949" t="s">
        <v>225</v>
      </c>
      <c r="BC4" s="949" t="s">
        <v>226</v>
      </c>
      <c r="BD4" s="947" t="s">
        <v>227</v>
      </c>
      <c r="BE4" s="950" t="s">
        <v>228</v>
      </c>
      <c r="BF4" s="944" t="s">
        <v>221</v>
      </c>
      <c r="BG4" s="945" t="s">
        <v>222</v>
      </c>
      <c r="BH4" s="945" t="s">
        <v>223</v>
      </c>
      <c r="BI4" s="945" t="s">
        <v>224</v>
      </c>
      <c r="BJ4" s="945" t="s">
        <v>229</v>
      </c>
      <c r="BK4" s="945" t="s">
        <v>230</v>
      </c>
      <c r="BL4" s="947" t="s">
        <v>227</v>
      </c>
      <c r="BM4" s="949" t="s">
        <v>228</v>
      </c>
      <c r="BN4" s="948" t="s">
        <v>221</v>
      </c>
      <c r="BO4" s="949" t="s">
        <v>222</v>
      </c>
      <c r="BP4" s="949" t="s">
        <v>223</v>
      </c>
      <c r="BQ4" s="949" t="s">
        <v>224</v>
      </c>
      <c r="BR4" s="949" t="s">
        <v>225</v>
      </c>
      <c r="BS4" s="949" t="s">
        <v>226</v>
      </c>
      <c r="BT4" s="947" t="s">
        <v>227</v>
      </c>
      <c r="BU4" s="949" t="s">
        <v>228</v>
      </c>
      <c r="BV4" s="948" t="s">
        <v>221</v>
      </c>
      <c r="BW4" s="949" t="s">
        <v>222</v>
      </c>
      <c r="BX4" s="949" t="s">
        <v>223</v>
      </c>
      <c r="BY4" s="949" t="s">
        <v>224</v>
      </c>
      <c r="BZ4" s="949" t="s">
        <v>225</v>
      </c>
      <c r="CA4" s="949" t="s">
        <v>226</v>
      </c>
      <c r="CB4" s="947" t="s">
        <v>227</v>
      </c>
      <c r="CC4" s="1180" t="s">
        <v>228</v>
      </c>
      <c r="CD4" s="948" t="s">
        <v>221</v>
      </c>
      <c r="CE4" s="949" t="s">
        <v>222</v>
      </c>
      <c r="CF4" s="949" t="s">
        <v>223</v>
      </c>
      <c r="CG4" s="949" t="s">
        <v>224</v>
      </c>
      <c r="CH4" s="949" t="s">
        <v>225</v>
      </c>
      <c r="CI4" s="949" t="s">
        <v>226</v>
      </c>
      <c r="CJ4" s="947" t="s">
        <v>227</v>
      </c>
      <c r="CK4" s="950" t="s">
        <v>228</v>
      </c>
      <c r="CL4" s="948" t="s">
        <v>221</v>
      </c>
      <c r="CM4" s="949" t="s">
        <v>222</v>
      </c>
      <c r="CN4" s="949" t="s">
        <v>223</v>
      </c>
      <c r="CO4" s="949" t="s">
        <v>224</v>
      </c>
      <c r="CP4" s="949" t="s">
        <v>225</v>
      </c>
      <c r="CQ4" s="949" t="s">
        <v>226</v>
      </c>
      <c r="CR4" s="947" t="s">
        <v>227</v>
      </c>
      <c r="CS4" s="950" t="s">
        <v>228</v>
      </c>
      <c r="CT4" s="951" t="s">
        <v>221</v>
      </c>
      <c r="CU4" s="949" t="s">
        <v>222</v>
      </c>
      <c r="CV4" s="949" t="s">
        <v>223</v>
      </c>
      <c r="CW4" s="949" t="s">
        <v>224</v>
      </c>
      <c r="CX4" s="949" t="s">
        <v>225</v>
      </c>
      <c r="CY4" s="949" t="s">
        <v>226</v>
      </c>
      <c r="CZ4" s="950" t="s">
        <v>227</v>
      </c>
      <c r="DA4" s="947" t="s">
        <v>228</v>
      </c>
      <c r="DB4" s="951" t="s">
        <v>221</v>
      </c>
      <c r="DC4" s="949" t="s">
        <v>222</v>
      </c>
      <c r="DD4" s="949" t="s">
        <v>223</v>
      </c>
      <c r="DE4" s="949" t="s">
        <v>224</v>
      </c>
      <c r="DF4" s="949" t="s">
        <v>225</v>
      </c>
      <c r="DG4" s="949" t="s">
        <v>226</v>
      </c>
      <c r="DH4" s="947" t="s">
        <v>227</v>
      </c>
      <c r="DI4" s="947" t="s">
        <v>228</v>
      </c>
      <c r="DJ4" s="951" t="s">
        <v>221</v>
      </c>
      <c r="DK4" s="949" t="s">
        <v>222</v>
      </c>
      <c r="DL4" s="949" t="s">
        <v>223</v>
      </c>
      <c r="DM4" s="949" t="s">
        <v>224</v>
      </c>
      <c r="DN4" s="949" t="s">
        <v>225</v>
      </c>
      <c r="DO4" s="949" t="s">
        <v>226</v>
      </c>
      <c r="DP4" s="947" t="s">
        <v>227</v>
      </c>
      <c r="DQ4" s="947" t="s">
        <v>228</v>
      </c>
      <c r="DR4" s="951" t="s">
        <v>221</v>
      </c>
      <c r="DS4" s="949" t="s">
        <v>222</v>
      </c>
      <c r="DT4" s="949" t="s">
        <v>223</v>
      </c>
      <c r="DU4" s="949" t="s">
        <v>224</v>
      </c>
      <c r="DV4" s="949" t="s">
        <v>225</v>
      </c>
      <c r="DW4" s="949" t="s">
        <v>226</v>
      </c>
      <c r="DX4" s="947" t="s">
        <v>227</v>
      </c>
      <c r="DY4" s="947" t="s">
        <v>228</v>
      </c>
      <c r="DZ4" s="951" t="s">
        <v>221</v>
      </c>
      <c r="EA4" s="949" t="s">
        <v>222</v>
      </c>
      <c r="EB4" s="949" t="s">
        <v>223</v>
      </c>
      <c r="EC4" s="949" t="s">
        <v>224</v>
      </c>
      <c r="ED4" s="949" t="s">
        <v>225</v>
      </c>
      <c r="EE4" s="949" t="s">
        <v>226</v>
      </c>
      <c r="EF4" s="947" t="s">
        <v>227</v>
      </c>
      <c r="EG4" s="947" t="s">
        <v>228</v>
      </c>
      <c r="EH4" s="951" t="s">
        <v>221</v>
      </c>
      <c r="EI4" s="949" t="s">
        <v>222</v>
      </c>
      <c r="EJ4" s="949" t="s">
        <v>223</v>
      </c>
      <c r="EK4" s="949" t="s">
        <v>224</v>
      </c>
      <c r="EL4" s="949" t="s">
        <v>225</v>
      </c>
      <c r="EM4" s="949" t="s">
        <v>226</v>
      </c>
      <c r="EN4" s="947" t="s">
        <v>227</v>
      </c>
      <c r="EO4" s="947" t="s">
        <v>228</v>
      </c>
      <c r="EP4" s="951" t="s">
        <v>221</v>
      </c>
      <c r="EQ4" s="949" t="s">
        <v>222</v>
      </c>
      <c r="ER4" s="949" t="s">
        <v>223</v>
      </c>
      <c r="ES4" s="949" t="s">
        <v>224</v>
      </c>
      <c r="ET4" s="949" t="s">
        <v>225</v>
      </c>
      <c r="EU4" s="949" t="s">
        <v>226</v>
      </c>
      <c r="EV4" s="947" t="s">
        <v>227</v>
      </c>
      <c r="EW4" s="947" t="s">
        <v>228</v>
      </c>
      <c r="EX4" s="948" t="s">
        <v>221</v>
      </c>
      <c r="EY4" s="949" t="s">
        <v>222</v>
      </c>
      <c r="EZ4" s="949" t="s">
        <v>223</v>
      </c>
      <c r="FA4" s="949" t="s">
        <v>224</v>
      </c>
      <c r="FB4" s="949" t="s">
        <v>225</v>
      </c>
      <c r="FC4" s="949" t="s">
        <v>226</v>
      </c>
      <c r="FD4" s="947" t="s">
        <v>227</v>
      </c>
      <c r="FE4" s="947" t="s">
        <v>228</v>
      </c>
      <c r="FF4" s="948" t="s">
        <v>221</v>
      </c>
      <c r="FG4" s="949" t="s">
        <v>222</v>
      </c>
      <c r="FH4" s="949" t="s">
        <v>223</v>
      </c>
      <c r="FI4" s="949" t="s">
        <v>224</v>
      </c>
      <c r="FJ4" s="949" t="s">
        <v>225</v>
      </c>
      <c r="FK4" s="949" t="s">
        <v>226</v>
      </c>
      <c r="FL4" s="947" t="s">
        <v>227</v>
      </c>
      <c r="FM4" s="950" t="s">
        <v>228</v>
      </c>
      <c r="FN4" s="948" t="s">
        <v>221</v>
      </c>
      <c r="FO4" s="949" t="s">
        <v>222</v>
      </c>
      <c r="FP4" s="949" t="s">
        <v>223</v>
      </c>
      <c r="FQ4" s="949" t="s">
        <v>224</v>
      </c>
      <c r="FR4" s="949" t="s">
        <v>225</v>
      </c>
      <c r="FS4" s="949" t="s">
        <v>226</v>
      </c>
      <c r="FT4" s="947" t="s">
        <v>227</v>
      </c>
      <c r="FU4" s="947" t="s">
        <v>228</v>
      </c>
      <c r="FV4" s="951" t="s">
        <v>221</v>
      </c>
      <c r="FW4" s="949" t="s">
        <v>222</v>
      </c>
      <c r="FX4" s="949" t="s">
        <v>223</v>
      </c>
      <c r="FY4" s="949" t="s">
        <v>224</v>
      </c>
      <c r="FZ4" s="949" t="s">
        <v>225</v>
      </c>
      <c r="GA4" s="949" t="s">
        <v>226</v>
      </c>
      <c r="GB4" s="947" t="s">
        <v>227</v>
      </c>
      <c r="GC4" s="947" t="s">
        <v>228</v>
      </c>
      <c r="GD4" s="948" t="s">
        <v>221</v>
      </c>
      <c r="GE4" s="949" t="s">
        <v>222</v>
      </c>
      <c r="GF4" s="949" t="s">
        <v>223</v>
      </c>
      <c r="GG4" s="949" t="s">
        <v>224</v>
      </c>
      <c r="GH4" s="949" t="s">
        <v>225</v>
      </c>
      <c r="GI4" s="949" t="s">
        <v>226</v>
      </c>
      <c r="GJ4" s="947" t="s">
        <v>227</v>
      </c>
      <c r="GK4" s="947" t="s">
        <v>228</v>
      </c>
    </row>
    <row r="5" spans="1:193" ht="14.25">
      <c r="A5" s="438" t="s">
        <v>231</v>
      </c>
      <c r="B5" s="1109"/>
      <c r="C5" s="421">
        <v>4744</v>
      </c>
      <c r="D5" s="649">
        <v>214</v>
      </c>
      <c r="E5" s="421">
        <v>111</v>
      </c>
      <c r="F5" s="421">
        <v>65</v>
      </c>
      <c r="G5" s="637">
        <v>220</v>
      </c>
      <c r="H5" s="642">
        <f>SUM(B5:G5)</f>
        <v>5354</v>
      </c>
      <c r="I5" s="422">
        <v>174.41</v>
      </c>
      <c r="J5" s="423"/>
      <c r="K5" s="424">
        <v>66</v>
      </c>
      <c r="L5" s="424"/>
      <c r="M5" s="424"/>
      <c r="N5" s="424"/>
      <c r="O5" s="425"/>
      <c r="P5" s="426">
        <f>SUM(J5:O5)</f>
        <v>66</v>
      </c>
      <c r="Q5" s="422">
        <v>13.14</v>
      </c>
      <c r="R5" s="423">
        <v>21</v>
      </c>
      <c r="S5" s="424">
        <v>782</v>
      </c>
      <c r="T5" s="424">
        <v>353</v>
      </c>
      <c r="U5" s="424">
        <v>172</v>
      </c>
      <c r="V5" s="424">
        <v>2</v>
      </c>
      <c r="W5" s="425"/>
      <c r="X5" s="426">
        <f>SUM(R5:W5)</f>
        <v>1330</v>
      </c>
      <c r="Y5" s="535">
        <v>28.18</v>
      </c>
      <c r="Z5" s="427"/>
      <c r="AA5" s="428">
        <v>19882</v>
      </c>
      <c r="AB5" s="428">
        <v>42</v>
      </c>
      <c r="AC5" s="428">
        <v>20</v>
      </c>
      <c r="AD5" s="428"/>
      <c r="AE5" s="429"/>
      <c r="AF5" s="430">
        <f>SUM(Z5:AE5)</f>
        <v>19944</v>
      </c>
      <c r="AG5" s="426">
        <v>181</v>
      </c>
      <c r="AH5" s="423"/>
      <c r="AI5" s="428">
        <v>343</v>
      </c>
      <c r="AJ5" s="428"/>
      <c r="AK5" s="428"/>
      <c r="AL5" s="428"/>
      <c r="AM5" s="429"/>
      <c r="AN5" s="430">
        <f>SUM(AH5:AM5)</f>
        <v>343</v>
      </c>
      <c r="AO5" s="422">
        <v>9.2</v>
      </c>
      <c r="AP5" s="423">
        <v>1</v>
      </c>
      <c r="AQ5" s="424">
        <v>101</v>
      </c>
      <c r="AR5" s="424">
        <v>2</v>
      </c>
      <c r="AS5" s="424"/>
      <c r="AT5" s="424"/>
      <c r="AU5" s="425"/>
      <c r="AV5" s="426">
        <f>SUM(AP5:AU5)</f>
        <v>104</v>
      </c>
      <c r="AW5" s="422">
        <v>2.25</v>
      </c>
      <c r="AX5" s="423">
        <v>18</v>
      </c>
      <c r="AY5" s="428">
        <v>1</v>
      </c>
      <c r="AZ5" s="428">
        <v>1</v>
      </c>
      <c r="BA5" s="428">
        <v>2</v>
      </c>
      <c r="BB5" s="428"/>
      <c r="BC5" s="429"/>
      <c r="BD5" s="430">
        <f>SUM(AX5:BC5)</f>
        <v>22</v>
      </c>
      <c r="BE5" s="537">
        <v>0.51</v>
      </c>
      <c r="BF5" s="420"/>
      <c r="BG5" s="421"/>
      <c r="BH5" s="421"/>
      <c r="BI5" s="421"/>
      <c r="BJ5" s="421"/>
      <c r="BK5" s="631"/>
      <c r="BL5" s="642">
        <f>SUM(BF5:BK5)</f>
        <v>0</v>
      </c>
      <c r="BM5" s="422"/>
      <c r="BN5" s="423">
        <v>3365</v>
      </c>
      <c r="BO5" s="424">
        <v>1712</v>
      </c>
      <c r="BP5" s="424">
        <v>34</v>
      </c>
      <c r="BQ5" s="424">
        <v>7</v>
      </c>
      <c r="BR5" s="424">
        <v>2</v>
      </c>
      <c r="BS5" s="425">
        <v>1</v>
      </c>
      <c r="BT5" s="426">
        <f>SUM(BN5:BS5)</f>
        <v>5121</v>
      </c>
      <c r="BU5" s="537">
        <v>52.38</v>
      </c>
      <c r="BV5" s="423"/>
      <c r="BW5" s="424">
        <v>1131</v>
      </c>
      <c r="BX5" s="424">
        <v>369</v>
      </c>
      <c r="BY5" s="424">
        <v>57</v>
      </c>
      <c r="BZ5" s="424">
        <v>8</v>
      </c>
      <c r="CA5" s="425"/>
      <c r="CB5" s="426">
        <f>SUM(BV5:CA5)</f>
        <v>1565</v>
      </c>
      <c r="CC5" s="1181">
        <v>18.71</v>
      </c>
      <c r="CD5" s="536">
        <v>3272</v>
      </c>
      <c r="CE5" s="428">
        <v>50182</v>
      </c>
      <c r="CF5" s="428">
        <v>2</v>
      </c>
      <c r="CG5" s="428"/>
      <c r="CH5" s="428"/>
      <c r="CI5" s="429"/>
      <c r="CJ5" s="430">
        <f>SUM(CD5:CI5)</f>
        <v>53456</v>
      </c>
      <c r="CK5" s="422">
        <v>888.29</v>
      </c>
      <c r="CL5" s="423">
        <v>10825</v>
      </c>
      <c r="CM5" s="424">
        <v>3348</v>
      </c>
      <c r="CN5" s="424">
        <v>3869</v>
      </c>
      <c r="CO5" s="424">
        <v>255</v>
      </c>
      <c r="CP5" s="424">
        <v>148</v>
      </c>
      <c r="CQ5" s="425">
        <v>198</v>
      </c>
      <c r="CR5" s="426">
        <f>SUM(CL5:CQ5)</f>
        <v>18643</v>
      </c>
      <c r="CS5" s="422">
        <v>391.49</v>
      </c>
      <c r="CT5" s="427"/>
      <c r="CU5" s="424">
        <v>1979</v>
      </c>
      <c r="CV5" s="424">
        <v>46</v>
      </c>
      <c r="CW5" s="424">
        <v>2</v>
      </c>
      <c r="CX5" s="424"/>
      <c r="CY5" s="424"/>
      <c r="CZ5" s="431">
        <f>SUM(CT5:CY5)</f>
        <v>2027</v>
      </c>
      <c r="DA5" s="426">
        <v>40.17</v>
      </c>
      <c r="DB5" s="427"/>
      <c r="DC5" s="424">
        <v>204</v>
      </c>
      <c r="DD5" s="424">
        <v>32</v>
      </c>
      <c r="DE5" s="424">
        <v>11</v>
      </c>
      <c r="DF5" s="424"/>
      <c r="DG5" s="425">
        <v>4</v>
      </c>
      <c r="DH5" s="426">
        <f>SUM(DB5:DG5)</f>
        <v>251</v>
      </c>
      <c r="DI5" s="426">
        <v>6.31</v>
      </c>
      <c r="DJ5" s="424">
        <v>1632</v>
      </c>
      <c r="DK5" s="424">
        <v>4244</v>
      </c>
      <c r="DL5" s="424">
        <v>165</v>
      </c>
      <c r="DM5" s="424">
        <v>26</v>
      </c>
      <c r="DN5" s="424">
        <v>23</v>
      </c>
      <c r="DO5" s="425"/>
      <c r="DP5" s="426">
        <f>SUM(DJ5:DO5)</f>
        <v>6090</v>
      </c>
      <c r="DQ5" s="426">
        <v>156.02</v>
      </c>
      <c r="DR5" s="432">
        <v>54439</v>
      </c>
      <c r="DS5" s="428">
        <v>480</v>
      </c>
      <c r="DT5" s="428">
        <v>10</v>
      </c>
      <c r="DU5" s="428">
        <v>1</v>
      </c>
      <c r="DV5" s="428"/>
      <c r="DW5" s="429"/>
      <c r="DX5" s="430">
        <f>SUM(DR5:DW5)</f>
        <v>54930</v>
      </c>
      <c r="DY5" s="426">
        <v>322.12</v>
      </c>
      <c r="DZ5" s="427"/>
      <c r="EA5" s="424">
        <v>1911</v>
      </c>
      <c r="EB5" s="424">
        <v>167</v>
      </c>
      <c r="EC5" s="424">
        <v>433</v>
      </c>
      <c r="ED5" s="424">
        <v>1</v>
      </c>
      <c r="EE5" s="425"/>
      <c r="EF5" s="426">
        <f>SUM(DZ5:EE5)</f>
        <v>2512</v>
      </c>
      <c r="EG5" s="426">
        <v>50.37</v>
      </c>
      <c r="EH5" s="432"/>
      <c r="EI5" s="428">
        <v>8058</v>
      </c>
      <c r="EJ5" s="428">
        <v>464</v>
      </c>
      <c r="EK5" s="428">
        <v>195</v>
      </c>
      <c r="EL5" s="428">
        <v>567</v>
      </c>
      <c r="EM5" s="429">
        <v>1265</v>
      </c>
      <c r="EN5" s="430">
        <f>SUM(EH5:EM5)</f>
        <v>10549</v>
      </c>
      <c r="EO5" s="426">
        <v>85.86</v>
      </c>
      <c r="EP5" s="432"/>
      <c r="EQ5" s="428"/>
      <c r="ER5" s="428"/>
      <c r="ES5" s="428"/>
      <c r="ET5" s="428"/>
      <c r="EU5" s="429"/>
      <c r="EV5" s="430">
        <f>SUM(EP5:EU5)</f>
        <v>0</v>
      </c>
      <c r="EW5" s="426"/>
      <c r="EX5" s="433">
        <v>3855</v>
      </c>
      <c r="EY5" s="434">
        <v>72273</v>
      </c>
      <c r="EZ5" s="435">
        <v>727</v>
      </c>
      <c r="FA5" s="435">
        <v>65</v>
      </c>
      <c r="FB5" s="435">
        <v>784</v>
      </c>
      <c r="FC5" s="436">
        <v>1048</v>
      </c>
      <c r="FD5" s="437">
        <f>SUM(EX5:FC5)</f>
        <v>78752</v>
      </c>
      <c r="FE5" s="438">
        <v>1152</v>
      </c>
      <c r="FF5" s="423">
        <v>117</v>
      </c>
      <c r="FG5" s="424">
        <v>1230</v>
      </c>
      <c r="FH5" s="424">
        <v>556</v>
      </c>
      <c r="FI5" s="424">
        <v>100</v>
      </c>
      <c r="FJ5" s="424"/>
      <c r="FK5" s="425"/>
      <c r="FL5" s="426">
        <f>SUM(FF5:FK5)</f>
        <v>2003</v>
      </c>
      <c r="FM5" s="422">
        <v>25.29</v>
      </c>
      <c r="FN5" s="432"/>
      <c r="FO5" s="428">
        <v>1053</v>
      </c>
      <c r="FP5" s="428">
        <v>51</v>
      </c>
      <c r="FQ5" s="428">
        <v>13</v>
      </c>
      <c r="FR5" s="428">
        <v>6</v>
      </c>
      <c r="FS5" s="429"/>
      <c r="FT5" s="430">
        <f>SUM(FN5:FS5)</f>
        <v>1123</v>
      </c>
      <c r="FU5" s="426">
        <v>15.67</v>
      </c>
      <c r="FV5" s="427">
        <v>1306</v>
      </c>
      <c r="FW5" s="424">
        <v>2870</v>
      </c>
      <c r="FX5" s="424">
        <v>1</v>
      </c>
      <c r="FY5" s="424"/>
      <c r="FZ5" s="424"/>
      <c r="GA5" s="425"/>
      <c r="GB5" s="426">
        <f>SUM(FV5:GA5)</f>
        <v>4177</v>
      </c>
      <c r="GC5" s="426">
        <v>143.66</v>
      </c>
      <c r="GD5" s="536">
        <v>634638</v>
      </c>
      <c r="GE5" s="428">
        <v>446951</v>
      </c>
      <c r="GF5" s="428">
        <v>220308</v>
      </c>
      <c r="GG5" s="428">
        <v>81511</v>
      </c>
      <c r="GH5" s="428">
        <v>7164</v>
      </c>
      <c r="GI5" s="428">
        <v>9099</v>
      </c>
      <c r="GJ5" s="430">
        <f>SUM(GD5:GI5)</f>
        <v>1399671</v>
      </c>
      <c r="GK5" s="426">
        <v>18104.13</v>
      </c>
    </row>
    <row r="6" spans="1:193" ht="14.25">
      <c r="A6" s="462" t="s">
        <v>125</v>
      </c>
      <c r="B6" s="1110"/>
      <c r="C6" s="440">
        <v>6327</v>
      </c>
      <c r="D6" s="650">
        <v>154</v>
      </c>
      <c r="E6" s="440">
        <v>4</v>
      </c>
      <c r="F6" s="440">
        <v>1</v>
      </c>
      <c r="G6" s="646"/>
      <c r="H6" s="643">
        <f aca="true" t="shared" si="0" ref="H6:H12">SUM(B6:G6)</f>
        <v>6486</v>
      </c>
      <c r="I6" s="441">
        <v>8.47</v>
      </c>
      <c r="J6" s="442"/>
      <c r="K6" s="443">
        <v>2056</v>
      </c>
      <c r="L6" s="443">
        <v>1</v>
      </c>
      <c r="M6" s="443">
        <v>1</v>
      </c>
      <c r="N6" s="443"/>
      <c r="O6" s="444"/>
      <c r="P6" s="445">
        <f aca="true" t="shared" si="1" ref="P6:P12">SUM(J6:O6)</f>
        <v>2058</v>
      </c>
      <c r="Q6" s="446">
        <v>9.52</v>
      </c>
      <c r="R6" s="447">
        <v>1021</v>
      </c>
      <c r="S6" s="443">
        <v>786</v>
      </c>
      <c r="T6" s="443"/>
      <c r="U6" s="443"/>
      <c r="V6" s="443">
        <v>1</v>
      </c>
      <c r="W6" s="444"/>
      <c r="X6" s="445">
        <f aca="true" t="shared" si="2" ref="X6:X12">SUM(R6:W6)</f>
        <v>1808</v>
      </c>
      <c r="Y6" s="446">
        <v>5.34</v>
      </c>
      <c r="Z6" s="448"/>
      <c r="AA6" s="443">
        <v>13502</v>
      </c>
      <c r="AB6" s="443"/>
      <c r="AC6" s="443"/>
      <c r="AD6" s="443"/>
      <c r="AE6" s="444"/>
      <c r="AF6" s="445">
        <f aca="true" t="shared" si="3" ref="AF6:AF12">SUM(Z6:AE6)</f>
        <v>13502</v>
      </c>
      <c r="AG6" s="449">
        <v>35</v>
      </c>
      <c r="AH6" s="442"/>
      <c r="AI6" s="443">
        <v>12905</v>
      </c>
      <c r="AJ6" s="443">
        <v>19</v>
      </c>
      <c r="AK6" s="443"/>
      <c r="AL6" s="443"/>
      <c r="AM6" s="444"/>
      <c r="AN6" s="445">
        <f aca="true" t="shared" si="4" ref="AN6:AN12">SUM(AH6:AM6)</f>
        <v>12924</v>
      </c>
      <c r="AO6" s="446">
        <v>3.97</v>
      </c>
      <c r="AP6" s="447"/>
      <c r="AQ6" s="443">
        <v>1447</v>
      </c>
      <c r="AR6" s="443">
        <v>41</v>
      </c>
      <c r="AS6" s="443">
        <v>4</v>
      </c>
      <c r="AT6" s="443">
        <v>2</v>
      </c>
      <c r="AU6" s="444"/>
      <c r="AV6" s="445">
        <f aca="true" t="shared" si="5" ref="AV6:AV12">SUM(AP6:AU6)</f>
        <v>1494</v>
      </c>
      <c r="AW6" s="446">
        <v>4.15</v>
      </c>
      <c r="AX6" s="447">
        <v>22</v>
      </c>
      <c r="AY6" s="443">
        <v>1238</v>
      </c>
      <c r="AZ6" s="443">
        <v>535</v>
      </c>
      <c r="BA6" s="443">
        <v>14</v>
      </c>
      <c r="BB6" s="443">
        <v>13</v>
      </c>
      <c r="BC6" s="444">
        <v>14</v>
      </c>
      <c r="BD6" s="445">
        <f aca="true" t="shared" si="6" ref="BD6:BD12">SUM(AX6:BC6)</f>
        <v>1836</v>
      </c>
      <c r="BE6" s="538">
        <v>0.76</v>
      </c>
      <c r="BF6" s="439">
        <v>120</v>
      </c>
      <c r="BG6" s="440">
        <v>52</v>
      </c>
      <c r="BH6" s="440">
        <v>48</v>
      </c>
      <c r="BI6" s="440">
        <v>12</v>
      </c>
      <c r="BJ6" s="440">
        <v>10</v>
      </c>
      <c r="BK6" s="646">
        <v>16</v>
      </c>
      <c r="BL6" s="643">
        <f>SUM(BF6:BK6)</f>
        <v>258</v>
      </c>
      <c r="BM6" s="441">
        <v>1.16</v>
      </c>
      <c r="BN6" s="442">
        <v>7406</v>
      </c>
      <c r="BO6" s="451">
        <v>2302</v>
      </c>
      <c r="BP6" s="451">
        <v>152</v>
      </c>
      <c r="BQ6" s="451">
        <v>13</v>
      </c>
      <c r="BR6" s="451">
        <v>1</v>
      </c>
      <c r="BS6" s="452"/>
      <c r="BT6" s="449">
        <f aca="true" t="shared" si="7" ref="BT6:BT12">SUM(BN6:BS6)</f>
        <v>9874</v>
      </c>
      <c r="BU6" s="538">
        <v>34.98</v>
      </c>
      <c r="BV6" s="447"/>
      <c r="BW6" s="443">
        <v>1634</v>
      </c>
      <c r="BX6" s="443">
        <v>96</v>
      </c>
      <c r="BY6" s="443">
        <v>4</v>
      </c>
      <c r="BZ6" s="443"/>
      <c r="CA6" s="444"/>
      <c r="CB6" s="445">
        <f aca="true" t="shared" si="8" ref="CB6:CB12">SUM(BV6:CA6)</f>
        <v>1734</v>
      </c>
      <c r="CC6" s="538">
        <v>45.41</v>
      </c>
      <c r="CD6" s="447">
        <v>1370</v>
      </c>
      <c r="CE6" s="443">
        <v>891</v>
      </c>
      <c r="CF6" s="443">
        <v>1</v>
      </c>
      <c r="CG6" s="443">
        <v>1</v>
      </c>
      <c r="CH6" s="443"/>
      <c r="CI6" s="444"/>
      <c r="CJ6" s="453">
        <f aca="true" t="shared" si="9" ref="CJ6:CJ12">SUM(CD6:CI6)</f>
        <v>2263</v>
      </c>
      <c r="CK6" s="446">
        <v>8.46</v>
      </c>
      <c r="CL6" s="447">
        <v>7754</v>
      </c>
      <c r="CM6" s="443">
        <v>2696</v>
      </c>
      <c r="CN6" s="443">
        <v>5610</v>
      </c>
      <c r="CO6" s="443">
        <v>86</v>
      </c>
      <c r="CP6" s="443">
        <v>123</v>
      </c>
      <c r="CQ6" s="444">
        <v>2</v>
      </c>
      <c r="CR6" s="445">
        <f aca="true" t="shared" si="10" ref="CR6:CR12">SUM(CL6:CQ6)</f>
        <v>16271</v>
      </c>
      <c r="CS6" s="446">
        <v>51.14</v>
      </c>
      <c r="CT6" s="541"/>
      <c r="CU6" s="454">
        <v>6276</v>
      </c>
      <c r="CV6" s="454"/>
      <c r="CW6" s="454"/>
      <c r="CX6" s="454"/>
      <c r="CY6" s="454"/>
      <c r="CZ6" s="455">
        <f aca="true" t="shared" si="11" ref="CZ6:CZ12">SUM(CT6:CY6)</f>
        <v>6276</v>
      </c>
      <c r="DA6" s="456">
        <v>19.77</v>
      </c>
      <c r="DB6" s="450"/>
      <c r="DC6" s="443">
        <v>1724</v>
      </c>
      <c r="DD6" s="443">
        <v>95</v>
      </c>
      <c r="DE6" s="443">
        <v>34</v>
      </c>
      <c r="DF6" s="443">
        <v>5</v>
      </c>
      <c r="DG6" s="444">
        <v>2</v>
      </c>
      <c r="DH6" s="445">
        <f aca="true" t="shared" si="12" ref="DH6:DH12">SUM(DB6:DG6)</f>
        <v>1860</v>
      </c>
      <c r="DI6" s="449">
        <v>4.24</v>
      </c>
      <c r="DJ6" s="443">
        <v>2480</v>
      </c>
      <c r="DK6" s="443">
        <v>457</v>
      </c>
      <c r="DL6" s="443">
        <v>219</v>
      </c>
      <c r="DM6" s="443">
        <v>45</v>
      </c>
      <c r="DN6" s="443">
        <v>23</v>
      </c>
      <c r="DO6" s="444"/>
      <c r="DP6" s="445">
        <f aca="true" t="shared" si="13" ref="DP6:DP12">SUM(DJ6:DO6)</f>
        <v>3224</v>
      </c>
      <c r="DQ6" s="449">
        <v>12.78</v>
      </c>
      <c r="DR6" s="450">
        <v>17904</v>
      </c>
      <c r="DS6" s="443"/>
      <c r="DT6" s="443"/>
      <c r="DU6" s="443"/>
      <c r="DV6" s="443"/>
      <c r="DW6" s="444"/>
      <c r="DX6" s="445">
        <f aca="true" t="shared" si="14" ref="DX6:DX12">SUM(DR6:DW6)</f>
        <v>17904</v>
      </c>
      <c r="DY6" s="449">
        <v>27.44</v>
      </c>
      <c r="DZ6" s="450"/>
      <c r="EA6" s="443">
        <v>7278</v>
      </c>
      <c r="EB6" s="443">
        <v>209</v>
      </c>
      <c r="EC6" s="443">
        <v>195</v>
      </c>
      <c r="ED6" s="443">
        <v>3</v>
      </c>
      <c r="EE6" s="444">
        <v>1</v>
      </c>
      <c r="EF6" s="445">
        <f aca="true" t="shared" si="15" ref="EF6:EF12">SUM(DZ6:EE6)</f>
        <v>7686</v>
      </c>
      <c r="EG6" s="449">
        <v>22.21</v>
      </c>
      <c r="EH6" s="450"/>
      <c r="EI6" s="443">
        <v>38700</v>
      </c>
      <c r="EJ6" s="443">
        <v>4231</v>
      </c>
      <c r="EK6" s="443">
        <v>1101</v>
      </c>
      <c r="EL6" s="443">
        <v>2248</v>
      </c>
      <c r="EM6" s="444">
        <v>7261</v>
      </c>
      <c r="EN6" s="445">
        <f aca="true" t="shared" si="16" ref="EN6:EN12">SUM(EH6:EM6)</f>
        <v>53541</v>
      </c>
      <c r="EO6" s="449">
        <v>114.71</v>
      </c>
      <c r="EP6" s="457"/>
      <c r="EQ6" s="443"/>
      <c r="ER6" s="443"/>
      <c r="ES6" s="443"/>
      <c r="ET6" s="443"/>
      <c r="EU6" s="444"/>
      <c r="EV6" s="445">
        <f aca="true" t="shared" si="17" ref="EV6:EV12">SUM(EP6:EU6)</f>
        <v>0</v>
      </c>
      <c r="EW6" s="449"/>
      <c r="EX6" s="458">
        <v>32974</v>
      </c>
      <c r="EY6" s="459">
        <v>2683</v>
      </c>
      <c r="EZ6" s="459">
        <v>14</v>
      </c>
      <c r="FA6" s="459">
        <v>7</v>
      </c>
      <c r="FB6" s="459">
        <v>7</v>
      </c>
      <c r="FC6" s="460">
        <v>4</v>
      </c>
      <c r="FD6" s="461">
        <f aca="true" t="shared" si="18" ref="FD6:FD12">SUM(EX6:FC6)</f>
        <v>35689</v>
      </c>
      <c r="FE6" s="462">
        <v>128.02</v>
      </c>
      <c r="FF6" s="463">
        <v>260</v>
      </c>
      <c r="FG6" s="464">
        <v>704</v>
      </c>
      <c r="FH6" s="464">
        <v>274</v>
      </c>
      <c r="FI6" s="464">
        <v>5</v>
      </c>
      <c r="FJ6" s="464"/>
      <c r="FK6" s="465"/>
      <c r="FL6" s="466">
        <f aca="true" t="shared" si="19" ref="FL6:FL12">SUM(FF6:FK6)</f>
        <v>1243</v>
      </c>
      <c r="FM6" s="467">
        <v>6.26</v>
      </c>
      <c r="FN6" s="468"/>
      <c r="FO6" s="469">
        <v>1457</v>
      </c>
      <c r="FP6" s="469">
        <v>25</v>
      </c>
      <c r="FQ6" s="469">
        <v>5</v>
      </c>
      <c r="FR6" s="469">
        <v>1</v>
      </c>
      <c r="FS6" s="470"/>
      <c r="FT6" s="471">
        <f aca="true" t="shared" si="20" ref="FT6:FT12">SUM(FN6:FS6)</f>
        <v>1488</v>
      </c>
      <c r="FU6" s="472">
        <v>8.78</v>
      </c>
      <c r="FV6" s="450">
        <v>30129</v>
      </c>
      <c r="FW6" s="443">
        <v>31618</v>
      </c>
      <c r="FX6" s="443"/>
      <c r="FY6" s="443"/>
      <c r="FZ6" s="443"/>
      <c r="GA6" s="444"/>
      <c r="GB6" s="445">
        <f aca="true" t="shared" si="21" ref="GB6:GB12">SUM(FV6:GA6)</f>
        <v>61747</v>
      </c>
      <c r="GC6" s="449">
        <v>52.54</v>
      </c>
      <c r="GD6" s="542">
        <v>1627996</v>
      </c>
      <c r="GE6" s="469">
        <v>319850</v>
      </c>
      <c r="GF6" s="469">
        <v>69374</v>
      </c>
      <c r="GG6" s="469">
        <v>8934</v>
      </c>
      <c r="GH6" s="469">
        <v>6526</v>
      </c>
      <c r="GI6" s="470">
        <v>21858</v>
      </c>
      <c r="GJ6" s="471">
        <f aca="true" t="shared" si="22" ref="GJ6:GJ12">SUM(GD6:GI6)</f>
        <v>2054538</v>
      </c>
      <c r="GK6" s="472">
        <v>5463.38</v>
      </c>
    </row>
    <row r="7" spans="1:193" ht="14.25">
      <c r="A7" s="462" t="s">
        <v>232</v>
      </c>
      <c r="B7" s="1111">
        <v>3356</v>
      </c>
      <c r="C7" s="440">
        <v>0</v>
      </c>
      <c r="D7" s="440">
        <v>0</v>
      </c>
      <c r="E7" s="440">
        <v>0</v>
      </c>
      <c r="F7" s="440"/>
      <c r="G7" s="646"/>
      <c r="H7" s="643">
        <f t="shared" si="0"/>
        <v>3356</v>
      </c>
      <c r="I7" s="441">
        <v>2.52</v>
      </c>
      <c r="J7" s="442"/>
      <c r="K7" s="443"/>
      <c r="L7" s="443"/>
      <c r="M7" s="443"/>
      <c r="N7" s="443"/>
      <c r="O7" s="444"/>
      <c r="P7" s="445">
        <f t="shared" si="1"/>
        <v>0</v>
      </c>
      <c r="Q7" s="446"/>
      <c r="R7" s="447">
        <v>537</v>
      </c>
      <c r="S7" s="443">
        <v>851</v>
      </c>
      <c r="T7" s="443">
        <v>48</v>
      </c>
      <c r="U7" s="443">
        <v>37</v>
      </c>
      <c r="V7" s="443">
        <v>47</v>
      </c>
      <c r="W7" s="444">
        <v>67</v>
      </c>
      <c r="X7" s="445">
        <f t="shared" si="2"/>
        <v>1587</v>
      </c>
      <c r="Y7" s="446">
        <v>0.58</v>
      </c>
      <c r="Z7" s="448"/>
      <c r="AA7" s="443">
        <v>4363</v>
      </c>
      <c r="AB7" s="443"/>
      <c r="AC7" s="443"/>
      <c r="AD7" s="443"/>
      <c r="AE7" s="444"/>
      <c r="AF7" s="445">
        <f t="shared" si="3"/>
        <v>4363</v>
      </c>
      <c r="AG7" s="449">
        <v>2</v>
      </c>
      <c r="AH7" s="442"/>
      <c r="AI7" s="443">
        <v>45</v>
      </c>
      <c r="AJ7" s="443"/>
      <c r="AK7" s="443"/>
      <c r="AL7" s="443"/>
      <c r="AM7" s="444"/>
      <c r="AN7" s="445">
        <f t="shared" si="4"/>
        <v>45</v>
      </c>
      <c r="AO7" s="446">
        <v>1.59</v>
      </c>
      <c r="AP7" s="447">
        <v>219</v>
      </c>
      <c r="AQ7" s="443">
        <v>88</v>
      </c>
      <c r="AR7" s="443">
        <v>33</v>
      </c>
      <c r="AS7" s="443">
        <v>5</v>
      </c>
      <c r="AT7" s="443">
        <v>3</v>
      </c>
      <c r="AU7" s="444">
        <v>8</v>
      </c>
      <c r="AV7" s="445">
        <f t="shared" si="5"/>
        <v>356</v>
      </c>
      <c r="AW7" s="446">
        <v>1.38</v>
      </c>
      <c r="AX7" s="447"/>
      <c r="AY7" s="443"/>
      <c r="AZ7" s="443"/>
      <c r="BA7" s="443"/>
      <c r="BB7" s="443"/>
      <c r="BC7" s="444"/>
      <c r="BD7" s="445">
        <f t="shared" si="6"/>
        <v>0</v>
      </c>
      <c r="BE7" s="538"/>
      <c r="BF7" s="476">
        <v>369</v>
      </c>
      <c r="BG7" s="440">
        <v>70</v>
      </c>
      <c r="BH7" s="440">
        <v>40</v>
      </c>
      <c r="BI7" s="440">
        <v>25</v>
      </c>
      <c r="BJ7" s="440">
        <v>27</v>
      </c>
      <c r="BK7" s="646">
        <v>1</v>
      </c>
      <c r="BL7" s="643">
        <f>SUM(BF7:BK7)</f>
        <v>532</v>
      </c>
      <c r="BM7" s="441">
        <v>0.51</v>
      </c>
      <c r="BN7" s="447"/>
      <c r="BO7" s="443">
        <v>859</v>
      </c>
      <c r="BP7" s="443"/>
      <c r="BQ7" s="443"/>
      <c r="BR7" s="443"/>
      <c r="BS7" s="444"/>
      <c r="BT7" s="445">
        <f t="shared" si="7"/>
        <v>859</v>
      </c>
      <c r="BU7" s="538">
        <v>0.49</v>
      </c>
      <c r="BV7" s="447"/>
      <c r="BW7" s="443">
        <v>230</v>
      </c>
      <c r="BX7" s="443">
        <v>451</v>
      </c>
      <c r="BY7" s="443"/>
      <c r="BZ7" s="443"/>
      <c r="CA7" s="444"/>
      <c r="CB7" s="445">
        <f t="shared" si="8"/>
        <v>681</v>
      </c>
      <c r="CC7" s="538">
        <v>0.09</v>
      </c>
      <c r="CD7" s="447">
        <v>69236</v>
      </c>
      <c r="CE7" s="443">
        <v>2070</v>
      </c>
      <c r="CF7" s="443"/>
      <c r="CG7" s="443"/>
      <c r="CH7" s="443"/>
      <c r="CI7" s="444"/>
      <c r="CJ7" s="453">
        <f t="shared" si="9"/>
        <v>71306</v>
      </c>
      <c r="CK7" s="446">
        <v>128.96</v>
      </c>
      <c r="CL7" s="447">
        <v>12408</v>
      </c>
      <c r="CM7" s="443">
        <v>912</v>
      </c>
      <c r="CN7" s="443">
        <v>19204</v>
      </c>
      <c r="CO7" s="443">
        <v>55</v>
      </c>
      <c r="CP7" s="443">
        <v>456</v>
      </c>
      <c r="CQ7" s="444">
        <v>357</v>
      </c>
      <c r="CR7" s="445">
        <f t="shared" si="10"/>
        <v>33392</v>
      </c>
      <c r="CS7" s="446">
        <v>47.55</v>
      </c>
      <c r="CT7" s="541"/>
      <c r="CU7" s="454"/>
      <c r="CV7" s="454"/>
      <c r="CW7" s="454"/>
      <c r="CX7" s="454"/>
      <c r="CY7" s="454"/>
      <c r="CZ7" s="455">
        <f t="shared" si="11"/>
        <v>0</v>
      </c>
      <c r="DA7" s="456"/>
      <c r="DB7" s="450"/>
      <c r="DC7" s="443">
        <v>9</v>
      </c>
      <c r="DD7" s="443"/>
      <c r="DE7" s="443"/>
      <c r="DF7" s="443"/>
      <c r="DG7" s="444"/>
      <c r="DH7" s="445">
        <f t="shared" si="12"/>
        <v>9</v>
      </c>
      <c r="DI7" s="449">
        <v>0.02</v>
      </c>
      <c r="DJ7" s="443">
        <v>1072</v>
      </c>
      <c r="DK7" s="443">
        <v>192</v>
      </c>
      <c r="DL7" s="443">
        <v>11</v>
      </c>
      <c r="DM7" s="443">
        <v>3</v>
      </c>
      <c r="DN7" s="443"/>
      <c r="DO7" s="444"/>
      <c r="DP7" s="445">
        <f t="shared" si="13"/>
        <v>1278</v>
      </c>
      <c r="DQ7" s="449">
        <v>2.04</v>
      </c>
      <c r="DR7" s="450">
        <v>876</v>
      </c>
      <c r="DS7" s="443"/>
      <c r="DT7" s="443"/>
      <c r="DU7" s="443"/>
      <c r="DV7" s="443"/>
      <c r="DW7" s="444"/>
      <c r="DX7" s="445">
        <f t="shared" si="14"/>
        <v>876</v>
      </c>
      <c r="DY7" s="449">
        <v>1.72</v>
      </c>
      <c r="DZ7" s="450"/>
      <c r="EA7" s="443">
        <v>197</v>
      </c>
      <c r="EB7" s="443">
        <v>1</v>
      </c>
      <c r="EC7" s="443"/>
      <c r="ED7" s="443"/>
      <c r="EE7" s="444"/>
      <c r="EF7" s="445">
        <f t="shared" si="15"/>
        <v>198</v>
      </c>
      <c r="EG7" s="449">
        <v>0.2</v>
      </c>
      <c r="EH7" s="450"/>
      <c r="EI7" s="443">
        <v>916</v>
      </c>
      <c r="EJ7" s="443">
        <v>75</v>
      </c>
      <c r="EK7" s="443">
        <v>63</v>
      </c>
      <c r="EL7" s="443"/>
      <c r="EM7" s="444"/>
      <c r="EN7" s="445">
        <f t="shared" si="16"/>
        <v>1054</v>
      </c>
      <c r="EO7" s="449">
        <v>0.83</v>
      </c>
      <c r="EP7" s="457"/>
      <c r="EQ7" s="443"/>
      <c r="ER7" s="443"/>
      <c r="ES7" s="443"/>
      <c r="ET7" s="443"/>
      <c r="EU7" s="444"/>
      <c r="EV7" s="445">
        <f t="shared" si="17"/>
        <v>0</v>
      </c>
      <c r="EW7" s="449"/>
      <c r="EX7" s="458">
        <v>107208</v>
      </c>
      <c r="EY7" s="459"/>
      <c r="EZ7" s="459"/>
      <c r="FA7" s="459"/>
      <c r="FB7" s="459"/>
      <c r="FC7" s="460"/>
      <c r="FD7" s="461">
        <f t="shared" si="18"/>
        <v>107208</v>
      </c>
      <c r="FE7" s="462">
        <v>48.86</v>
      </c>
      <c r="FF7" s="463">
        <v>166</v>
      </c>
      <c r="FG7" s="464">
        <v>5</v>
      </c>
      <c r="FH7" s="464"/>
      <c r="FI7" s="464"/>
      <c r="FJ7" s="464"/>
      <c r="FK7" s="465"/>
      <c r="FL7" s="466">
        <f t="shared" si="19"/>
        <v>171</v>
      </c>
      <c r="FM7" s="467">
        <v>0.08</v>
      </c>
      <c r="FN7" s="468"/>
      <c r="FO7" s="469">
        <v>787</v>
      </c>
      <c r="FP7" s="469"/>
      <c r="FQ7" s="469"/>
      <c r="FR7" s="469"/>
      <c r="FS7" s="470"/>
      <c r="FT7" s="471">
        <f t="shared" si="20"/>
        <v>787</v>
      </c>
      <c r="FU7" s="472">
        <v>1.5</v>
      </c>
      <c r="FV7" s="450">
        <v>553</v>
      </c>
      <c r="FW7" s="443">
        <v>55</v>
      </c>
      <c r="FX7" s="443">
        <v>1</v>
      </c>
      <c r="FY7" s="443"/>
      <c r="FZ7" s="443"/>
      <c r="GA7" s="444"/>
      <c r="GB7" s="445">
        <f t="shared" si="21"/>
        <v>609</v>
      </c>
      <c r="GC7" s="449">
        <v>0.8</v>
      </c>
      <c r="GD7" s="542">
        <v>4379551</v>
      </c>
      <c r="GE7" s="469">
        <v>1290417</v>
      </c>
      <c r="GF7" s="469">
        <v>47945</v>
      </c>
      <c r="GG7" s="469">
        <v>46861</v>
      </c>
      <c r="GH7" s="469">
        <v>24111</v>
      </c>
      <c r="GI7" s="470">
        <v>47392</v>
      </c>
      <c r="GJ7" s="471">
        <f t="shared" si="22"/>
        <v>5836277</v>
      </c>
      <c r="GK7" s="472">
        <v>26828.97</v>
      </c>
    </row>
    <row r="8" spans="1:193" ht="14.25">
      <c r="A8" s="462" t="s">
        <v>127</v>
      </c>
      <c r="B8" s="1111"/>
      <c r="C8" s="440">
        <v>17112</v>
      </c>
      <c r="D8" s="440">
        <v>25</v>
      </c>
      <c r="E8" s="440">
        <v>1</v>
      </c>
      <c r="F8" s="440"/>
      <c r="G8" s="646"/>
      <c r="H8" s="643">
        <f t="shared" si="0"/>
        <v>17138</v>
      </c>
      <c r="I8" s="441">
        <v>435.01</v>
      </c>
      <c r="J8" s="442"/>
      <c r="K8" s="443">
        <v>1929</v>
      </c>
      <c r="L8" s="443">
        <v>30</v>
      </c>
      <c r="M8" s="443">
        <v>-5</v>
      </c>
      <c r="N8" s="443"/>
      <c r="O8" s="444"/>
      <c r="P8" s="445">
        <f t="shared" si="1"/>
        <v>1954</v>
      </c>
      <c r="Q8" s="446">
        <v>42.08</v>
      </c>
      <c r="R8" s="447"/>
      <c r="S8" s="443">
        <v>3799</v>
      </c>
      <c r="T8" s="443"/>
      <c r="U8" s="443"/>
      <c r="V8" s="443"/>
      <c r="W8" s="444"/>
      <c r="X8" s="445">
        <f t="shared" si="2"/>
        <v>3799</v>
      </c>
      <c r="Y8" s="446">
        <v>120.96</v>
      </c>
      <c r="Z8" s="448"/>
      <c r="AA8" s="443">
        <v>25016</v>
      </c>
      <c r="AB8" s="443"/>
      <c r="AC8" s="443"/>
      <c r="AD8" s="443"/>
      <c r="AE8" s="444"/>
      <c r="AF8" s="445">
        <f t="shared" si="3"/>
        <v>25016</v>
      </c>
      <c r="AG8" s="449">
        <v>244</v>
      </c>
      <c r="AH8" s="442"/>
      <c r="AI8" s="443">
        <v>2962</v>
      </c>
      <c r="AJ8" s="443"/>
      <c r="AK8" s="443"/>
      <c r="AL8" s="443"/>
      <c r="AM8" s="444"/>
      <c r="AN8" s="445">
        <f t="shared" si="4"/>
        <v>2962</v>
      </c>
      <c r="AO8" s="446">
        <v>46.51</v>
      </c>
      <c r="AP8" s="447"/>
      <c r="AQ8" s="443">
        <v>2470</v>
      </c>
      <c r="AR8" s="443">
        <v>24</v>
      </c>
      <c r="AS8" s="443">
        <v>1</v>
      </c>
      <c r="AT8" s="443"/>
      <c r="AU8" s="444"/>
      <c r="AV8" s="445">
        <f t="shared" si="5"/>
        <v>2495</v>
      </c>
      <c r="AW8" s="446">
        <v>141.58</v>
      </c>
      <c r="AX8" s="447">
        <v>739</v>
      </c>
      <c r="AY8" s="443">
        <v>7915</v>
      </c>
      <c r="AZ8" s="443">
        <v>1411</v>
      </c>
      <c r="BA8" s="443">
        <v>432</v>
      </c>
      <c r="BB8" s="443">
        <v>19</v>
      </c>
      <c r="BC8" s="444">
        <v>5</v>
      </c>
      <c r="BD8" s="445">
        <f t="shared" si="6"/>
        <v>10521</v>
      </c>
      <c r="BE8" s="538">
        <v>33.53</v>
      </c>
      <c r="BF8" s="476">
        <v>445</v>
      </c>
      <c r="BG8" s="440"/>
      <c r="BH8" s="440"/>
      <c r="BI8" s="440"/>
      <c r="BJ8" s="440"/>
      <c r="BK8" s="646"/>
      <c r="BL8" s="643">
        <f>SUM(BF8:BK8)</f>
        <v>445</v>
      </c>
      <c r="BM8" s="441">
        <v>3.54</v>
      </c>
      <c r="BN8" s="447"/>
      <c r="BO8" s="443">
        <v>9341</v>
      </c>
      <c r="BP8" s="443">
        <v>292</v>
      </c>
      <c r="BQ8" s="443">
        <v>5</v>
      </c>
      <c r="BR8" s="443">
        <v>4</v>
      </c>
      <c r="BS8" s="444"/>
      <c r="BT8" s="445">
        <f t="shared" si="7"/>
        <v>9642</v>
      </c>
      <c r="BU8" s="538">
        <v>114.88</v>
      </c>
      <c r="BV8" s="447"/>
      <c r="BW8" s="443">
        <v>2904</v>
      </c>
      <c r="BX8" s="443">
        <v>16</v>
      </c>
      <c r="BY8" s="443">
        <v>2</v>
      </c>
      <c r="BZ8" s="443">
        <v>3</v>
      </c>
      <c r="CA8" s="444"/>
      <c r="CB8" s="445">
        <f t="shared" si="8"/>
        <v>2925</v>
      </c>
      <c r="CC8" s="538">
        <v>32.33</v>
      </c>
      <c r="CD8" s="447"/>
      <c r="CE8" s="443">
        <v>36477</v>
      </c>
      <c r="CF8" s="443">
        <v>55</v>
      </c>
      <c r="CG8" s="443">
        <v>7</v>
      </c>
      <c r="CH8" s="443">
        <v>5</v>
      </c>
      <c r="CI8" s="444">
        <v>5</v>
      </c>
      <c r="CJ8" s="453">
        <f t="shared" si="9"/>
        <v>36549</v>
      </c>
      <c r="CK8" s="446">
        <v>1223.31</v>
      </c>
      <c r="CL8" s="447"/>
      <c r="CM8" s="443">
        <v>69889</v>
      </c>
      <c r="CN8" s="443">
        <v>1850</v>
      </c>
      <c r="CO8" s="443">
        <v>116</v>
      </c>
      <c r="CP8" s="443">
        <v>40</v>
      </c>
      <c r="CQ8" s="444">
        <v>53</v>
      </c>
      <c r="CR8" s="445">
        <f t="shared" si="10"/>
        <v>71948</v>
      </c>
      <c r="CS8" s="446">
        <v>2487.7</v>
      </c>
      <c r="CT8" s="541"/>
      <c r="CU8" s="454">
        <v>2471</v>
      </c>
      <c r="CV8" s="454"/>
      <c r="CW8" s="454"/>
      <c r="CX8" s="454"/>
      <c r="CY8" s="454"/>
      <c r="CZ8" s="455">
        <f t="shared" si="11"/>
        <v>2471</v>
      </c>
      <c r="DA8" s="456">
        <v>34.55</v>
      </c>
      <c r="DB8" s="450"/>
      <c r="DC8" s="443"/>
      <c r="DD8" s="443"/>
      <c r="DE8" s="443"/>
      <c r="DF8" s="443"/>
      <c r="DG8" s="444"/>
      <c r="DH8" s="445">
        <f t="shared" si="12"/>
        <v>0</v>
      </c>
      <c r="DI8" s="449"/>
      <c r="DJ8" s="443">
        <v>6</v>
      </c>
      <c r="DK8" s="443">
        <v>9165</v>
      </c>
      <c r="DL8" s="443">
        <v>50</v>
      </c>
      <c r="DM8" s="443">
        <v>23</v>
      </c>
      <c r="DN8" s="443">
        <v>3</v>
      </c>
      <c r="DO8" s="444"/>
      <c r="DP8" s="445">
        <f t="shared" si="13"/>
        <v>9247</v>
      </c>
      <c r="DQ8" s="449">
        <v>241.55</v>
      </c>
      <c r="DR8" s="450"/>
      <c r="DS8" s="443">
        <v>89554</v>
      </c>
      <c r="DT8" s="443"/>
      <c r="DU8" s="443"/>
      <c r="DV8" s="443"/>
      <c r="DW8" s="444"/>
      <c r="DX8" s="445">
        <f t="shared" si="14"/>
        <v>89554</v>
      </c>
      <c r="DY8" s="449">
        <v>896.79</v>
      </c>
      <c r="DZ8" s="450"/>
      <c r="EA8" s="443">
        <v>19142</v>
      </c>
      <c r="EB8" s="443">
        <v>31</v>
      </c>
      <c r="EC8" s="443"/>
      <c r="ED8" s="443"/>
      <c r="EE8" s="444"/>
      <c r="EF8" s="445">
        <f t="shared" si="15"/>
        <v>19173</v>
      </c>
      <c r="EG8" s="449">
        <v>344.72</v>
      </c>
      <c r="EH8" s="450"/>
      <c r="EI8" s="443">
        <v>50013</v>
      </c>
      <c r="EJ8" s="443">
        <v>4838</v>
      </c>
      <c r="EK8" s="443">
        <v>3887</v>
      </c>
      <c r="EL8" s="443">
        <v>6294</v>
      </c>
      <c r="EM8" s="444">
        <v>221422</v>
      </c>
      <c r="EN8" s="445">
        <f t="shared" si="16"/>
        <v>286454</v>
      </c>
      <c r="EO8" s="449">
        <v>356.63</v>
      </c>
      <c r="EP8" s="457"/>
      <c r="EQ8" s="443"/>
      <c r="ER8" s="443"/>
      <c r="ES8" s="443"/>
      <c r="ET8" s="443"/>
      <c r="EU8" s="444"/>
      <c r="EV8" s="445">
        <f t="shared" si="17"/>
        <v>0</v>
      </c>
      <c r="EW8" s="449"/>
      <c r="EX8" s="447"/>
      <c r="EY8" s="459">
        <v>49934</v>
      </c>
      <c r="EZ8" s="459">
        <v>166</v>
      </c>
      <c r="FA8" s="459">
        <v>41</v>
      </c>
      <c r="FB8" s="459"/>
      <c r="FC8" s="460"/>
      <c r="FD8" s="461">
        <f t="shared" si="18"/>
        <v>50141</v>
      </c>
      <c r="FE8" s="462">
        <v>893.96</v>
      </c>
      <c r="FF8" s="463"/>
      <c r="FG8" s="464">
        <v>3288</v>
      </c>
      <c r="FH8" s="464">
        <v>12</v>
      </c>
      <c r="FI8" s="464">
        <v>3</v>
      </c>
      <c r="FJ8" s="464">
        <v>2</v>
      </c>
      <c r="FK8" s="465">
        <v>119</v>
      </c>
      <c r="FL8" s="466">
        <f t="shared" si="19"/>
        <v>3424</v>
      </c>
      <c r="FM8" s="467">
        <v>25.33</v>
      </c>
      <c r="FN8" s="468"/>
      <c r="FO8" s="469">
        <v>7590</v>
      </c>
      <c r="FP8" s="469">
        <v>142</v>
      </c>
      <c r="FQ8" s="469">
        <v>1</v>
      </c>
      <c r="FR8" s="469"/>
      <c r="FS8" s="470"/>
      <c r="FT8" s="471">
        <f t="shared" si="20"/>
        <v>7733</v>
      </c>
      <c r="FU8" s="472">
        <v>110.49</v>
      </c>
      <c r="FV8" s="450">
        <v>10</v>
      </c>
      <c r="FW8" s="443">
        <v>11556</v>
      </c>
      <c r="FX8" s="443">
        <v>3</v>
      </c>
      <c r="FY8" s="443"/>
      <c r="FZ8" s="443"/>
      <c r="GA8" s="444"/>
      <c r="GB8" s="445">
        <f t="shared" si="21"/>
        <v>11569</v>
      </c>
      <c r="GC8" s="449">
        <v>215.53</v>
      </c>
      <c r="GD8" s="542">
        <v>28130</v>
      </c>
      <c r="GE8" s="469">
        <v>996701</v>
      </c>
      <c r="GF8" s="469">
        <v>38663</v>
      </c>
      <c r="GG8" s="469">
        <v>3208</v>
      </c>
      <c r="GH8" s="469">
        <v>6006</v>
      </c>
      <c r="GI8" s="470"/>
      <c r="GJ8" s="471">
        <f t="shared" si="22"/>
        <v>1072708</v>
      </c>
      <c r="GK8" s="472">
        <v>14612.35</v>
      </c>
    </row>
    <row r="9" spans="1:193" ht="14.25">
      <c r="A9" s="462" t="s">
        <v>233</v>
      </c>
      <c r="B9" s="1111"/>
      <c r="C9" s="440">
        <v>6864</v>
      </c>
      <c r="D9" s="440">
        <v>849</v>
      </c>
      <c r="E9" s="440">
        <v>776</v>
      </c>
      <c r="F9" s="440">
        <v>654</v>
      </c>
      <c r="G9" s="646">
        <v>449</v>
      </c>
      <c r="H9" s="643">
        <f t="shared" si="0"/>
        <v>9592</v>
      </c>
      <c r="I9" s="441">
        <v>174.76</v>
      </c>
      <c r="J9" s="442"/>
      <c r="K9" s="443">
        <v>184</v>
      </c>
      <c r="L9" s="443">
        <v>2</v>
      </c>
      <c r="M9" s="443"/>
      <c r="N9" s="443"/>
      <c r="O9" s="444"/>
      <c r="P9" s="445">
        <f t="shared" si="1"/>
        <v>186</v>
      </c>
      <c r="Q9" s="446">
        <v>1.54</v>
      </c>
      <c r="R9" s="447"/>
      <c r="S9" s="443">
        <f>2+29+534+966+876</f>
        <v>2407</v>
      </c>
      <c r="T9" s="443">
        <v>5</v>
      </c>
      <c r="U9" s="443"/>
      <c r="V9" s="443"/>
      <c r="W9" s="444"/>
      <c r="X9" s="445">
        <f t="shared" si="2"/>
        <v>2412</v>
      </c>
      <c r="Y9" s="446">
        <f>0.11+0.05+9.43+20.79+8.5</f>
        <v>38.879999999999995</v>
      </c>
      <c r="Z9" s="448"/>
      <c r="AA9" s="443">
        <v>6289</v>
      </c>
      <c r="AB9" s="443">
        <v>59</v>
      </c>
      <c r="AC9" s="443">
        <v>1</v>
      </c>
      <c r="AD9" s="443">
        <v>3</v>
      </c>
      <c r="AE9" s="444">
        <v>1</v>
      </c>
      <c r="AF9" s="445">
        <f t="shared" si="3"/>
        <v>6353</v>
      </c>
      <c r="AG9" s="449">
        <v>5</v>
      </c>
      <c r="AH9" s="442"/>
      <c r="AI9" s="443"/>
      <c r="AJ9" s="443"/>
      <c r="AK9" s="443"/>
      <c r="AL9" s="443"/>
      <c r="AM9" s="444"/>
      <c r="AN9" s="445">
        <f t="shared" si="4"/>
        <v>0</v>
      </c>
      <c r="AO9" s="446"/>
      <c r="AP9" s="447"/>
      <c r="AQ9" s="443">
        <v>4885</v>
      </c>
      <c r="AR9" s="443">
        <v>3</v>
      </c>
      <c r="AS9" s="443"/>
      <c r="AT9" s="443"/>
      <c r="AU9" s="444"/>
      <c r="AV9" s="445">
        <f t="shared" si="5"/>
        <v>4888</v>
      </c>
      <c r="AW9" s="446">
        <v>148.18</v>
      </c>
      <c r="AX9" s="447"/>
      <c r="AY9" s="443"/>
      <c r="AZ9" s="443"/>
      <c r="BA9" s="443"/>
      <c r="BB9" s="443"/>
      <c r="BC9" s="444"/>
      <c r="BD9" s="445">
        <f t="shared" si="6"/>
        <v>0</v>
      </c>
      <c r="BE9" s="538"/>
      <c r="BF9" s="476">
        <v>227</v>
      </c>
      <c r="BG9" s="440">
        <v>7</v>
      </c>
      <c r="BH9" s="440"/>
      <c r="BI9" s="440"/>
      <c r="BJ9" s="440"/>
      <c r="BK9" s="646"/>
      <c r="BL9" s="643">
        <f>SUM(BF9:BK9)</f>
        <v>234</v>
      </c>
      <c r="BM9" s="441">
        <v>2.33</v>
      </c>
      <c r="BN9" s="447"/>
      <c r="BO9" s="443">
        <v>789</v>
      </c>
      <c r="BP9" s="443"/>
      <c r="BQ9" s="443"/>
      <c r="BR9" s="443"/>
      <c r="BS9" s="444"/>
      <c r="BT9" s="445">
        <f t="shared" si="7"/>
        <v>789</v>
      </c>
      <c r="BU9" s="538">
        <v>0.44</v>
      </c>
      <c r="BV9" s="447"/>
      <c r="BW9" s="443">
        <v>1825</v>
      </c>
      <c r="BX9" s="443">
        <v>33</v>
      </c>
      <c r="BY9" s="443">
        <v>1</v>
      </c>
      <c r="BZ9" s="443">
        <v>4</v>
      </c>
      <c r="CA9" s="444"/>
      <c r="CB9" s="445">
        <f t="shared" si="8"/>
        <v>1863</v>
      </c>
      <c r="CC9" s="538">
        <v>14.5</v>
      </c>
      <c r="CD9" s="447"/>
      <c r="CE9" s="443">
        <v>10971</v>
      </c>
      <c r="CF9" s="443">
        <v>5175</v>
      </c>
      <c r="CG9" s="443">
        <v>3352</v>
      </c>
      <c r="CH9" s="443">
        <v>3869</v>
      </c>
      <c r="CI9" s="444">
        <v>3077</v>
      </c>
      <c r="CJ9" s="453">
        <f t="shared" si="9"/>
        <v>26444</v>
      </c>
      <c r="CK9" s="446">
        <v>319.4</v>
      </c>
      <c r="CL9" s="447"/>
      <c r="CM9" s="443">
        <v>25</v>
      </c>
      <c r="CN9" s="443">
        <v>5</v>
      </c>
      <c r="CO9" s="443"/>
      <c r="CP9" s="443">
        <v>1</v>
      </c>
      <c r="CQ9" s="444"/>
      <c r="CR9" s="445">
        <f t="shared" si="10"/>
        <v>31</v>
      </c>
      <c r="CS9" s="446">
        <v>1.07</v>
      </c>
      <c r="CT9" s="541"/>
      <c r="CU9" s="454">
        <v>1</v>
      </c>
      <c r="CV9" s="454"/>
      <c r="CW9" s="454"/>
      <c r="CX9" s="454"/>
      <c r="CY9" s="454"/>
      <c r="CZ9" s="455">
        <f t="shared" si="11"/>
        <v>1</v>
      </c>
      <c r="DA9" s="456">
        <v>0.02</v>
      </c>
      <c r="DB9" s="450"/>
      <c r="DC9" s="443">
        <v>76</v>
      </c>
      <c r="DD9" s="443"/>
      <c r="DE9" s="443"/>
      <c r="DF9" s="443"/>
      <c r="DG9" s="444"/>
      <c r="DH9" s="445">
        <f t="shared" si="12"/>
        <v>76</v>
      </c>
      <c r="DI9" s="449">
        <v>0.31</v>
      </c>
      <c r="DJ9" s="443"/>
      <c r="DK9" s="443">
        <v>438</v>
      </c>
      <c r="DL9" s="443">
        <v>17</v>
      </c>
      <c r="DM9" s="443">
        <v>6</v>
      </c>
      <c r="DN9" s="443">
        <v>3</v>
      </c>
      <c r="DO9" s="444"/>
      <c r="DP9" s="445">
        <f t="shared" si="13"/>
        <v>464</v>
      </c>
      <c r="DQ9" s="449">
        <v>14.2</v>
      </c>
      <c r="DR9" s="450"/>
      <c r="DS9" s="443">
        <v>55</v>
      </c>
      <c r="DT9" s="443"/>
      <c r="DU9" s="443"/>
      <c r="DV9" s="443"/>
      <c r="DW9" s="444"/>
      <c r="DX9" s="445">
        <f t="shared" si="14"/>
        <v>55</v>
      </c>
      <c r="DY9" s="449">
        <v>2.55</v>
      </c>
      <c r="DZ9" s="450"/>
      <c r="EA9" s="443">
        <v>18</v>
      </c>
      <c r="EB9" s="443"/>
      <c r="EC9" s="443"/>
      <c r="ED9" s="443"/>
      <c r="EE9" s="444"/>
      <c r="EF9" s="445">
        <f t="shared" si="15"/>
        <v>18</v>
      </c>
      <c r="EG9" s="449">
        <v>1.14</v>
      </c>
      <c r="EH9" s="450"/>
      <c r="EI9" s="443">
        <v>83</v>
      </c>
      <c r="EJ9" s="443"/>
      <c r="EK9" s="443"/>
      <c r="EL9" s="443"/>
      <c r="EM9" s="444"/>
      <c r="EN9" s="445">
        <f t="shared" si="16"/>
        <v>83</v>
      </c>
      <c r="EO9" s="449">
        <v>0.29</v>
      </c>
      <c r="EP9" s="457"/>
      <c r="EQ9" s="443"/>
      <c r="ER9" s="443"/>
      <c r="ES9" s="443"/>
      <c r="ET9" s="443"/>
      <c r="EU9" s="444"/>
      <c r="EV9" s="445">
        <f t="shared" si="17"/>
        <v>0</v>
      </c>
      <c r="EW9" s="449"/>
      <c r="EX9" s="477"/>
      <c r="EY9" s="459">
        <v>18361</v>
      </c>
      <c r="EZ9" s="459">
        <v>6340</v>
      </c>
      <c r="FA9" s="459">
        <v>651</v>
      </c>
      <c r="FB9" s="459">
        <v>1744</v>
      </c>
      <c r="FC9" s="460">
        <v>5706</v>
      </c>
      <c r="FD9" s="461">
        <f t="shared" si="18"/>
        <v>32802</v>
      </c>
      <c r="FE9" s="462">
        <v>309.61</v>
      </c>
      <c r="FF9" s="463"/>
      <c r="FG9" s="464"/>
      <c r="FH9" s="464"/>
      <c r="FI9" s="464"/>
      <c r="FJ9" s="464"/>
      <c r="FK9" s="465"/>
      <c r="FL9" s="466">
        <f t="shared" si="19"/>
        <v>0</v>
      </c>
      <c r="FM9" s="467"/>
      <c r="FN9" s="468"/>
      <c r="FO9" s="469">
        <v>400</v>
      </c>
      <c r="FP9" s="469">
        <v>5</v>
      </c>
      <c r="FQ9" s="469"/>
      <c r="FR9" s="469"/>
      <c r="FS9" s="470"/>
      <c r="FT9" s="471">
        <f t="shared" si="20"/>
        <v>405</v>
      </c>
      <c r="FU9" s="472">
        <v>3.36</v>
      </c>
      <c r="FV9" s="450">
        <v>302</v>
      </c>
      <c r="FW9" s="443">
        <v>42381</v>
      </c>
      <c r="FX9" s="443"/>
      <c r="FY9" s="443"/>
      <c r="FZ9" s="443"/>
      <c r="GA9" s="444"/>
      <c r="GB9" s="445">
        <f t="shared" si="21"/>
        <v>42683</v>
      </c>
      <c r="GC9" s="449">
        <v>48.28</v>
      </c>
      <c r="GD9" s="542"/>
      <c r="GE9" s="469"/>
      <c r="GF9" s="469"/>
      <c r="GG9" s="469"/>
      <c r="GH9" s="469"/>
      <c r="GI9" s="470"/>
      <c r="GJ9" s="471">
        <f t="shared" si="22"/>
        <v>0</v>
      </c>
      <c r="GK9" s="472"/>
    </row>
    <row r="10" spans="1:193" ht="14.25">
      <c r="A10" s="1113"/>
      <c r="B10" s="1111"/>
      <c r="C10" s="478"/>
      <c r="D10" s="478"/>
      <c r="E10" s="478"/>
      <c r="F10" s="478"/>
      <c r="G10" s="647"/>
      <c r="H10" s="643"/>
      <c r="I10" s="479"/>
      <c r="J10" s="475"/>
      <c r="K10" s="480"/>
      <c r="L10" s="480"/>
      <c r="M10" s="480"/>
      <c r="N10" s="480"/>
      <c r="O10" s="481"/>
      <c r="P10" s="482">
        <f t="shared" si="1"/>
        <v>0</v>
      </c>
      <c r="Q10" s="483"/>
      <c r="R10" s="484"/>
      <c r="S10" s="480"/>
      <c r="T10" s="480"/>
      <c r="U10" s="480"/>
      <c r="V10" s="480"/>
      <c r="W10" s="481"/>
      <c r="X10" s="482">
        <f t="shared" si="2"/>
        <v>0</v>
      </c>
      <c r="Y10" s="483"/>
      <c r="Z10" s="473"/>
      <c r="AA10" s="480"/>
      <c r="AB10" s="480"/>
      <c r="AC10" s="480"/>
      <c r="AD10" s="480"/>
      <c r="AE10" s="481"/>
      <c r="AF10" s="482">
        <f t="shared" si="3"/>
        <v>0</v>
      </c>
      <c r="AG10" s="474"/>
      <c r="AH10" s="475"/>
      <c r="AI10" s="480"/>
      <c r="AJ10" s="480"/>
      <c r="AK10" s="480"/>
      <c r="AL10" s="480"/>
      <c r="AM10" s="481"/>
      <c r="AN10" s="482">
        <f t="shared" si="4"/>
        <v>0</v>
      </c>
      <c r="AO10" s="483"/>
      <c r="AP10" s="484"/>
      <c r="AQ10" s="480"/>
      <c r="AR10" s="480"/>
      <c r="AS10" s="480"/>
      <c r="AT10" s="480"/>
      <c r="AU10" s="481"/>
      <c r="AV10" s="482">
        <f t="shared" si="5"/>
        <v>0</v>
      </c>
      <c r="AW10" s="483"/>
      <c r="AX10" s="484"/>
      <c r="AY10" s="480"/>
      <c r="AZ10" s="480"/>
      <c r="BA10" s="480"/>
      <c r="BB10" s="480"/>
      <c r="BC10" s="481"/>
      <c r="BD10" s="482">
        <f t="shared" si="6"/>
        <v>0</v>
      </c>
      <c r="BE10" s="539"/>
      <c r="BF10" s="476"/>
      <c r="BG10" s="478"/>
      <c r="BH10" s="478"/>
      <c r="BI10" s="478"/>
      <c r="BJ10" s="478"/>
      <c r="BK10" s="647"/>
      <c r="BL10" s="643"/>
      <c r="BM10" s="479"/>
      <c r="BN10" s="484"/>
      <c r="BO10" s="480"/>
      <c r="BP10" s="480"/>
      <c r="BQ10" s="480"/>
      <c r="BR10" s="480"/>
      <c r="BS10" s="481"/>
      <c r="BT10" s="482">
        <f t="shared" si="7"/>
        <v>0</v>
      </c>
      <c r="BU10" s="539"/>
      <c r="BV10" s="484"/>
      <c r="BW10" s="480"/>
      <c r="BX10" s="480"/>
      <c r="BY10" s="480"/>
      <c r="BZ10" s="480"/>
      <c r="CA10" s="481"/>
      <c r="CB10" s="482">
        <f t="shared" si="8"/>
        <v>0</v>
      </c>
      <c r="CC10" s="539"/>
      <c r="CD10" s="484"/>
      <c r="CE10" s="480"/>
      <c r="CF10" s="480"/>
      <c r="CG10" s="480"/>
      <c r="CH10" s="480"/>
      <c r="CI10" s="481"/>
      <c r="CJ10" s="453">
        <f t="shared" si="9"/>
        <v>0</v>
      </c>
      <c r="CK10" s="483"/>
      <c r="CL10" s="484"/>
      <c r="CM10" s="480"/>
      <c r="CN10" s="480"/>
      <c r="CO10" s="480"/>
      <c r="CP10" s="480"/>
      <c r="CQ10" s="481"/>
      <c r="CR10" s="482">
        <f t="shared" si="10"/>
        <v>0</v>
      </c>
      <c r="CS10" s="483"/>
      <c r="CT10" s="541"/>
      <c r="CU10" s="454"/>
      <c r="CV10" s="454"/>
      <c r="CW10" s="454"/>
      <c r="CX10" s="454"/>
      <c r="CY10" s="454"/>
      <c r="CZ10" s="455">
        <f t="shared" si="11"/>
        <v>0</v>
      </c>
      <c r="DA10" s="456"/>
      <c r="DB10" s="485"/>
      <c r="DC10" s="480"/>
      <c r="DD10" s="480"/>
      <c r="DE10" s="480"/>
      <c r="DF10" s="480"/>
      <c r="DG10" s="481"/>
      <c r="DH10" s="482">
        <f t="shared" si="12"/>
        <v>0</v>
      </c>
      <c r="DI10" s="474"/>
      <c r="DJ10" s="486"/>
      <c r="DK10" s="487"/>
      <c r="DL10" s="487"/>
      <c r="DM10" s="487"/>
      <c r="DN10" s="487"/>
      <c r="DO10" s="488"/>
      <c r="DP10" s="489">
        <f t="shared" si="13"/>
        <v>0</v>
      </c>
      <c r="DQ10" s="490"/>
      <c r="DR10" s="485"/>
      <c r="DS10" s="480"/>
      <c r="DT10" s="480"/>
      <c r="DU10" s="480"/>
      <c r="DV10" s="480"/>
      <c r="DW10" s="481"/>
      <c r="DX10" s="482"/>
      <c r="DY10" s="474"/>
      <c r="DZ10" s="485"/>
      <c r="EA10" s="480"/>
      <c r="EB10" s="480"/>
      <c r="EC10" s="480"/>
      <c r="ED10" s="480"/>
      <c r="EE10" s="481"/>
      <c r="EF10" s="482"/>
      <c r="EG10" s="474"/>
      <c r="EH10" s="485"/>
      <c r="EI10" s="480"/>
      <c r="EJ10" s="480"/>
      <c r="EK10" s="480"/>
      <c r="EL10" s="480"/>
      <c r="EM10" s="481"/>
      <c r="EN10" s="482"/>
      <c r="EO10" s="474"/>
      <c r="EP10" s="457"/>
      <c r="EQ10" s="443"/>
      <c r="ER10" s="443"/>
      <c r="ES10" s="443"/>
      <c r="ET10" s="443"/>
      <c r="EU10" s="444"/>
      <c r="EV10" s="445"/>
      <c r="EW10" s="449"/>
      <c r="EX10" s="447"/>
      <c r="EY10" s="443"/>
      <c r="EZ10" s="443"/>
      <c r="FA10" s="443"/>
      <c r="FB10" s="443"/>
      <c r="FC10" s="444"/>
      <c r="FD10" s="461">
        <f t="shared" si="18"/>
        <v>0</v>
      </c>
      <c r="FE10" s="462"/>
      <c r="FF10" s="463"/>
      <c r="FG10" s="464"/>
      <c r="FH10" s="464"/>
      <c r="FI10" s="464"/>
      <c r="FJ10" s="464"/>
      <c r="FK10" s="465"/>
      <c r="FL10" s="466"/>
      <c r="FM10" s="467"/>
      <c r="FN10" s="468"/>
      <c r="FO10" s="469"/>
      <c r="FP10" s="469"/>
      <c r="FQ10" s="469"/>
      <c r="FR10" s="469"/>
      <c r="FS10" s="470"/>
      <c r="FT10" s="471"/>
      <c r="FU10" s="472"/>
      <c r="FV10" s="485"/>
      <c r="FW10" s="480"/>
      <c r="FX10" s="480"/>
      <c r="FY10" s="480"/>
      <c r="FZ10" s="480"/>
      <c r="GA10" s="481"/>
      <c r="GB10" s="482"/>
      <c r="GC10" s="474"/>
      <c r="GD10" s="484"/>
      <c r="GE10" s="480"/>
      <c r="GF10" s="480"/>
      <c r="GG10" s="480"/>
      <c r="GH10" s="480"/>
      <c r="GI10" s="481"/>
      <c r="GJ10" s="482"/>
      <c r="GK10" s="474"/>
    </row>
    <row r="11" spans="1:193" ht="14.25">
      <c r="A11" s="462" t="s">
        <v>234</v>
      </c>
      <c r="B11" s="1111"/>
      <c r="C11" s="440">
        <v>2431</v>
      </c>
      <c r="D11" s="645"/>
      <c r="E11" s="440"/>
      <c r="F11" s="440"/>
      <c r="G11" s="646"/>
      <c r="H11" s="643">
        <f t="shared" si="0"/>
        <v>2431</v>
      </c>
      <c r="I11" s="441">
        <v>48.22</v>
      </c>
      <c r="J11" s="442"/>
      <c r="K11" s="443">
        <v>29</v>
      </c>
      <c r="L11" s="443"/>
      <c r="M11" s="443"/>
      <c r="N11" s="443"/>
      <c r="O11" s="444"/>
      <c r="P11" s="445">
        <f t="shared" si="1"/>
        <v>29</v>
      </c>
      <c r="Q11" s="446">
        <v>4.62</v>
      </c>
      <c r="R11" s="447">
        <v>29</v>
      </c>
      <c r="S11" s="443">
        <v>128</v>
      </c>
      <c r="T11" s="443">
        <v>5</v>
      </c>
      <c r="U11" s="443"/>
      <c r="V11" s="443"/>
      <c r="W11" s="444"/>
      <c r="X11" s="445">
        <f t="shared" si="2"/>
        <v>162</v>
      </c>
      <c r="Y11" s="446">
        <v>3.25</v>
      </c>
      <c r="Z11" s="448"/>
      <c r="AA11" s="443">
        <v>39166</v>
      </c>
      <c r="AB11" s="443">
        <v>76</v>
      </c>
      <c r="AC11" s="443">
        <v>4</v>
      </c>
      <c r="AD11" s="443"/>
      <c r="AE11" s="444"/>
      <c r="AF11" s="445">
        <f t="shared" si="3"/>
        <v>39246</v>
      </c>
      <c r="AG11" s="449">
        <v>186</v>
      </c>
      <c r="AH11" s="442"/>
      <c r="AI11" s="443">
        <v>74</v>
      </c>
      <c r="AJ11" s="443"/>
      <c r="AK11" s="443"/>
      <c r="AL11" s="443"/>
      <c r="AM11" s="444"/>
      <c r="AN11" s="445">
        <f t="shared" si="4"/>
        <v>74</v>
      </c>
      <c r="AO11" s="446">
        <v>7.4</v>
      </c>
      <c r="AP11" s="447"/>
      <c r="AQ11" s="443">
        <v>697</v>
      </c>
      <c r="AR11" s="443"/>
      <c r="AS11" s="443"/>
      <c r="AT11" s="443"/>
      <c r="AU11" s="444"/>
      <c r="AV11" s="445">
        <f t="shared" si="5"/>
        <v>697</v>
      </c>
      <c r="AW11" s="446">
        <v>16.53</v>
      </c>
      <c r="AX11" s="447"/>
      <c r="AY11" s="443">
        <v>4614</v>
      </c>
      <c r="AZ11" s="443">
        <v>12370</v>
      </c>
      <c r="BA11" s="443">
        <v>80</v>
      </c>
      <c r="BB11" s="443">
        <v>2</v>
      </c>
      <c r="BC11" s="444"/>
      <c r="BD11" s="445">
        <f t="shared" si="6"/>
        <v>17066</v>
      </c>
      <c r="BE11" s="538">
        <v>67.07</v>
      </c>
      <c r="BF11" s="476"/>
      <c r="BG11" s="440">
        <v>72</v>
      </c>
      <c r="BH11" s="645"/>
      <c r="BI11" s="440"/>
      <c r="BJ11" s="440"/>
      <c r="BK11" s="646"/>
      <c r="BL11" s="643">
        <f>SUM(BF11:BK11)</f>
        <v>72</v>
      </c>
      <c r="BM11" s="441">
        <v>7.22</v>
      </c>
      <c r="BN11" s="447"/>
      <c r="BO11" s="443">
        <v>1438</v>
      </c>
      <c r="BP11" s="443"/>
      <c r="BQ11" s="443"/>
      <c r="BR11" s="443"/>
      <c r="BS11" s="444"/>
      <c r="BT11" s="445">
        <f t="shared" si="7"/>
        <v>1438</v>
      </c>
      <c r="BU11" s="538">
        <v>28.72</v>
      </c>
      <c r="BV11" s="447"/>
      <c r="BW11" s="443">
        <v>257</v>
      </c>
      <c r="BX11" s="443">
        <v>37</v>
      </c>
      <c r="BY11" s="443"/>
      <c r="BZ11" s="443"/>
      <c r="CA11" s="444"/>
      <c r="CB11" s="445">
        <f t="shared" si="8"/>
        <v>294</v>
      </c>
      <c r="CC11" s="538">
        <v>24.58</v>
      </c>
      <c r="CD11" s="447"/>
      <c r="CE11" s="443">
        <v>52531</v>
      </c>
      <c r="CF11" s="443">
        <v>2377</v>
      </c>
      <c r="CG11" s="443">
        <v>471</v>
      </c>
      <c r="CH11" s="443">
        <v>51</v>
      </c>
      <c r="CI11" s="444">
        <v>151</v>
      </c>
      <c r="CJ11" s="453">
        <f t="shared" si="9"/>
        <v>55581</v>
      </c>
      <c r="CK11" s="446">
        <v>304.31</v>
      </c>
      <c r="CL11" s="447"/>
      <c r="CM11" s="443">
        <v>14840</v>
      </c>
      <c r="CN11" s="443">
        <v>377</v>
      </c>
      <c r="CO11" s="443">
        <v>52</v>
      </c>
      <c r="CP11" s="443"/>
      <c r="CQ11" s="444"/>
      <c r="CR11" s="445">
        <f t="shared" si="10"/>
        <v>15269</v>
      </c>
      <c r="CS11" s="446">
        <v>91.81</v>
      </c>
      <c r="CT11" s="450"/>
      <c r="CU11" s="443">
        <v>328</v>
      </c>
      <c r="CV11" s="443">
        <v>2</v>
      </c>
      <c r="CW11" s="443"/>
      <c r="CX11" s="443"/>
      <c r="CY11" s="443"/>
      <c r="CZ11" s="491">
        <f t="shared" si="11"/>
        <v>330</v>
      </c>
      <c r="DA11" s="449">
        <v>2.9</v>
      </c>
      <c r="DB11" s="450"/>
      <c r="DC11" s="443">
        <v>2312</v>
      </c>
      <c r="DD11" s="443">
        <v>76</v>
      </c>
      <c r="DE11" s="443"/>
      <c r="DF11" s="443"/>
      <c r="DG11" s="444"/>
      <c r="DH11" s="445">
        <f t="shared" si="12"/>
        <v>2388</v>
      </c>
      <c r="DI11" s="449">
        <v>60.88</v>
      </c>
      <c r="DJ11" s="450"/>
      <c r="DK11" s="443">
        <v>14146</v>
      </c>
      <c r="DL11" s="443">
        <v>230</v>
      </c>
      <c r="DM11" s="443">
        <v>2</v>
      </c>
      <c r="DN11" s="443"/>
      <c r="DO11" s="444"/>
      <c r="DP11" s="445">
        <f t="shared" si="13"/>
        <v>14378</v>
      </c>
      <c r="DQ11" s="449">
        <v>112.84</v>
      </c>
      <c r="DR11" s="450"/>
      <c r="DS11" s="443">
        <v>2473</v>
      </c>
      <c r="DT11" s="443"/>
      <c r="DU11" s="443"/>
      <c r="DV11" s="443"/>
      <c r="DW11" s="444"/>
      <c r="DX11" s="445">
        <f t="shared" si="14"/>
        <v>2473</v>
      </c>
      <c r="DY11" s="449">
        <v>40.51</v>
      </c>
      <c r="DZ11" s="450"/>
      <c r="EA11" s="443">
        <v>555</v>
      </c>
      <c r="EB11" s="443"/>
      <c r="EC11" s="443"/>
      <c r="ED11" s="443"/>
      <c r="EE11" s="444"/>
      <c r="EF11" s="445">
        <f t="shared" si="15"/>
        <v>555</v>
      </c>
      <c r="EG11" s="449">
        <v>44.88</v>
      </c>
      <c r="EH11" s="450"/>
      <c r="EI11" s="443">
        <v>1286</v>
      </c>
      <c r="EJ11" s="443">
        <v>13</v>
      </c>
      <c r="EK11" s="443"/>
      <c r="EL11" s="443"/>
      <c r="EM11" s="444"/>
      <c r="EN11" s="445">
        <f t="shared" si="16"/>
        <v>1299</v>
      </c>
      <c r="EO11" s="449">
        <v>8.18</v>
      </c>
      <c r="EP11" s="457"/>
      <c r="EQ11" s="443"/>
      <c r="ER11" s="443"/>
      <c r="ES11" s="443"/>
      <c r="ET11" s="443"/>
      <c r="EU11" s="444"/>
      <c r="EV11" s="445">
        <f t="shared" si="17"/>
        <v>0</v>
      </c>
      <c r="EW11" s="449"/>
      <c r="EX11" s="458"/>
      <c r="EY11" s="459">
        <v>7273</v>
      </c>
      <c r="EZ11" s="459">
        <v>1</v>
      </c>
      <c r="FA11" s="459"/>
      <c r="FB11" s="459"/>
      <c r="FC11" s="460"/>
      <c r="FD11" s="461">
        <f t="shared" si="18"/>
        <v>7274</v>
      </c>
      <c r="FE11" s="462">
        <v>217.37</v>
      </c>
      <c r="FF11" s="463"/>
      <c r="FG11" s="464">
        <v>7321</v>
      </c>
      <c r="FH11" s="464"/>
      <c r="FI11" s="464"/>
      <c r="FJ11" s="464"/>
      <c r="FK11" s="465"/>
      <c r="FL11" s="466">
        <f t="shared" si="19"/>
        <v>7321</v>
      </c>
      <c r="FM11" s="467">
        <v>41.32</v>
      </c>
      <c r="FN11" s="468"/>
      <c r="FO11" s="469">
        <v>1233</v>
      </c>
      <c r="FP11" s="469">
        <v>11</v>
      </c>
      <c r="FQ11" s="469"/>
      <c r="FR11" s="469"/>
      <c r="FS11" s="470"/>
      <c r="FT11" s="471">
        <f t="shared" si="20"/>
        <v>1244</v>
      </c>
      <c r="FU11" s="472">
        <v>26.03</v>
      </c>
      <c r="FV11" s="450"/>
      <c r="FW11" s="443">
        <v>105</v>
      </c>
      <c r="FX11" s="443"/>
      <c r="FY11" s="443"/>
      <c r="FZ11" s="443"/>
      <c r="GA11" s="444"/>
      <c r="GB11" s="445">
        <f t="shared" si="21"/>
        <v>105</v>
      </c>
      <c r="GC11" s="449">
        <v>17.21</v>
      </c>
      <c r="GD11" s="542"/>
      <c r="GE11" s="469"/>
      <c r="GF11" s="469"/>
      <c r="GG11" s="469"/>
      <c r="GH11" s="469"/>
      <c r="GI11" s="470"/>
      <c r="GJ11" s="471">
        <f t="shared" si="22"/>
        <v>0</v>
      </c>
      <c r="GK11" s="472"/>
    </row>
    <row r="12" spans="1:193" ht="15" thickBot="1">
      <c r="A12" s="511" t="s">
        <v>235</v>
      </c>
      <c r="B12" s="1112"/>
      <c r="C12" s="493">
        <v>1216</v>
      </c>
      <c r="D12" s="493">
        <v>0</v>
      </c>
      <c r="E12" s="493">
        <v>0</v>
      </c>
      <c r="F12" s="493"/>
      <c r="G12" s="648"/>
      <c r="H12" s="644">
        <f t="shared" si="0"/>
        <v>1216</v>
      </c>
      <c r="I12" s="494">
        <v>65.23</v>
      </c>
      <c r="J12" s="495"/>
      <c r="K12" s="496">
        <v>97</v>
      </c>
      <c r="L12" s="496"/>
      <c r="M12" s="496"/>
      <c r="N12" s="496"/>
      <c r="O12" s="497"/>
      <c r="P12" s="498">
        <f t="shared" si="1"/>
        <v>97</v>
      </c>
      <c r="Q12" s="499">
        <v>18.1</v>
      </c>
      <c r="R12" s="500"/>
      <c r="S12" s="496">
        <v>158</v>
      </c>
      <c r="T12" s="496"/>
      <c r="U12" s="496"/>
      <c r="V12" s="496"/>
      <c r="W12" s="497"/>
      <c r="X12" s="498">
        <f t="shared" si="2"/>
        <v>158</v>
      </c>
      <c r="Y12" s="499">
        <v>14.61</v>
      </c>
      <c r="Z12" s="501"/>
      <c r="AA12" s="496">
        <v>2688</v>
      </c>
      <c r="AB12" s="496">
        <v>220</v>
      </c>
      <c r="AC12" s="496">
        <v>3</v>
      </c>
      <c r="AD12" s="496"/>
      <c r="AE12" s="497"/>
      <c r="AF12" s="498">
        <f t="shared" si="3"/>
        <v>2911</v>
      </c>
      <c r="AG12" s="502">
        <v>71</v>
      </c>
      <c r="AH12" s="495"/>
      <c r="AI12" s="496">
        <v>254</v>
      </c>
      <c r="AJ12" s="496"/>
      <c r="AK12" s="496"/>
      <c r="AL12" s="496"/>
      <c r="AM12" s="497"/>
      <c r="AN12" s="498">
        <f t="shared" si="4"/>
        <v>254</v>
      </c>
      <c r="AO12" s="499">
        <v>13.21</v>
      </c>
      <c r="AP12" s="500"/>
      <c r="AQ12" s="496">
        <v>233</v>
      </c>
      <c r="AR12" s="496"/>
      <c r="AS12" s="496"/>
      <c r="AT12" s="496"/>
      <c r="AU12" s="497"/>
      <c r="AV12" s="498">
        <f t="shared" si="5"/>
        <v>233</v>
      </c>
      <c r="AW12" s="499">
        <v>14.18</v>
      </c>
      <c r="AX12" s="500"/>
      <c r="AY12" s="496">
        <v>113</v>
      </c>
      <c r="AZ12" s="496">
        <v>7</v>
      </c>
      <c r="BA12" s="496"/>
      <c r="BB12" s="496"/>
      <c r="BC12" s="497"/>
      <c r="BD12" s="498">
        <f t="shared" si="6"/>
        <v>120</v>
      </c>
      <c r="BE12" s="540">
        <v>4.22</v>
      </c>
      <c r="BF12" s="492"/>
      <c r="BG12" s="493">
        <v>46</v>
      </c>
      <c r="BH12" s="493"/>
      <c r="BI12" s="493"/>
      <c r="BJ12" s="493"/>
      <c r="BK12" s="648"/>
      <c r="BL12" s="644">
        <f>SUM(BF12:BK12)</f>
        <v>46</v>
      </c>
      <c r="BM12" s="494">
        <v>2.4</v>
      </c>
      <c r="BN12" s="500"/>
      <c r="BO12" s="496">
        <v>732</v>
      </c>
      <c r="BP12" s="496">
        <v>94</v>
      </c>
      <c r="BQ12" s="496"/>
      <c r="BR12" s="496"/>
      <c r="BS12" s="497"/>
      <c r="BT12" s="498">
        <f t="shared" si="7"/>
        <v>826</v>
      </c>
      <c r="BU12" s="540">
        <v>21.17</v>
      </c>
      <c r="BV12" s="500"/>
      <c r="BW12" s="496">
        <v>217</v>
      </c>
      <c r="BX12" s="496">
        <v>17</v>
      </c>
      <c r="BY12" s="496">
        <v>1</v>
      </c>
      <c r="BZ12" s="496"/>
      <c r="CA12" s="497"/>
      <c r="CB12" s="498">
        <f t="shared" si="8"/>
        <v>235</v>
      </c>
      <c r="CC12" s="540">
        <v>63.76</v>
      </c>
      <c r="CD12" s="500"/>
      <c r="CE12" s="496">
        <v>3204</v>
      </c>
      <c r="CF12" s="496">
        <v>106</v>
      </c>
      <c r="CG12" s="496"/>
      <c r="CH12" s="496"/>
      <c r="CI12" s="497"/>
      <c r="CJ12" s="504">
        <f t="shared" si="9"/>
        <v>3310</v>
      </c>
      <c r="CK12" s="499">
        <v>149.35</v>
      </c>
      <c r="CL12" s="500"/>
      <c r="CM12" s="496">
        <v>2833</v>
      </c>
      <c r="CN12" s="496">
        <v>251</v>
      </c>
      <c r="CO12" s="496">
        <v>3</v>
      </c>
      <c r="CP12" s="496">
        <v>1</v>
      </c>
      <c r="CQ12" s="497"/>
      <c r="CR12" s="498">
        <f t="shared" si="10"/>
        <v>3088</v>
      </c>
      <c r="CS12" s="499">
        <v>253.29</v>
      </c>
      <c r="CT12" s="503"/>
      <c r="CU12" s="496">
        <v>299</v>
      </c>
      <c r="CV12" s="496">
        <v>6</v>
      </c>
      <c r="CW12" s="496"/>
      <c r="CX12" s="496"/>
      <c r="CY12" s="496"/>
      <c r="CZ12" s="505">
        <f t="shared" si="11"/>
        <v>305</v>
      </c>
      <c r="DA12" s="502">
        <v>11.22</v>
      </c>
      <c r="DB12" s="503"/>
      <c r="DC12" s="496">
        <v>447</v>
      </c>
      <c r="DD12" s="496">
        <v>32</v>
      </c>
      <c r="DE12" s="496"/>
      <c r="DF12" s="496"/>
      <c r="DG12" s="497"/>
      <c r="DH12" s="498">
        <f t="shared" si="12"/>
        <v>479</v>
      </c>
      <c r="DI12" s="502">
        <v>13.32</v>
      </c>
      <c r="DJ12" s="503"/>
      <c r="DK12" s="496">
        <v>700</v>
      </c>
      <c r="DL12" s="496">
        <v>55</v>
      </c>
      <c r="DM12" s="496">
        <v>1</v>
      </c>
      <c r="DN12" s="496"/>
      <c r="DO12" s="497">
        <v>3</v>
      </c>
      <c r="DP12" s="498">
        <f t="shared" si="13"/>
        <v>759</v>
      </c>
      <c r="DQ12" s="502">
        <v>32.5</v>
      </c>
      <c r="DR12" s="503"/>
      <c r="DS12" s="496">
        <v>3672</v>
      </c>
      <c r="DT12" s="496">
        <v>9</v>
      </c>
      <c r="DU12" s="496">
        <v>1</v>
      </c>
      <c r="DV12" s="496"/>
      <c r="DW12" s="497"/>
      <c r="DX12" s="498">
        <f t="shared" si="14"/>
        <v>3682</v>
      </c>
      <c r="DY12" s="502">
        <v>105.66</v>
      </c>
      <c r="DZ12" s="503"/>
      <c r="EA12" s="496">
        <v>1118</v>
      </c>
      <c r="EB12" s="496"/>
      <c r="EC12" s="496"/>
      <c r="ED12" s="496"/>
      <c r="EE12" s="497"/>
      <c r="EF12" s="498">
        <f t="shared" si="15"/>
        <v>1118</v>
      </c>
      <c r="EG12" s="502">
        <v>53.44</v>
      </c>
      <c r="EH12" s="503"/>
      <c r="EI12" s="496">
        <v>1746</v>
      </c>
      <c r="EJ12" s="496">
        <v>81</v>
      </c>
      <c r="EK12" s="496"/>
      <c r="EL12" s="496"/>
      <c r="EM12" s="497"/>
      <c r="EN12" s="498">
        <f t="shared" si="16"/>
        <v>1827</v>
      </c>
      <c r="EO12" s="502">
        <v>32.92</v>
      </c>
      <c r="EP12" s="506"/>
      <c r="EQ12" s="496"/>
      <c r="ER12" s="496"/>
      <c r="ES12" s="496"/>
      <c r="ET12" s="496"/>
      <c r="EU12" s="497"/>
      <c r="EV12" s="498">
        <f t="shared" si="17"/>
        <v>0</v>
      </c>
      <c r="EW12" s="502"/>
      <c r="EX12" s="507"/>
      <c r="EY12" s="508">
        <v>5021</v>
      </c>
      <c r="EZ12" s="508">
        <v>49</v>
      </c>
      <c r="FA12" s="508"/>
      <c r="FB12" s="508"/>
      <c r="FC12" s="509"/>
      <c r="FD12" s="510">
        <f t="shared" si="18"/>
        <v>5070</v>
      </c>
      <c r="FE12" s="511">
        <v>195.58</v>
      </c>
      <c r="FF12" s="512"/>
      <c r="FG12" s="513">
        <v>523</v>
      </c>
      <c r="FH12" s="513">
        <v>4</v>
      </c>
      <c r="FI12" s="513">
        <v>1</v>
      </c>
      <c r="FJ12" s="513"/>
      <c r="FK12" s="514"/>
      <c r="FL12" s="515">
        <f t="shared" si="19"/>
        <v>528</v>
      </c>
      <c r="FM12" s="516">
        <v>15.31</v>
      </c>
      <c r="FN12" s="517"/>
      <c r="FO12" s="518">
        <v>238</v>
      </c>
      <c r="FP12" s="518">
        <v>48</v>
      </c>
      <c r="FQ12" s="518"/>
      <c r="FR12" s="518"/>
      <c r="FS12" s="519"/>
      <c r="FT12" s="520">
        <f t="shared" si="20"/>
        <v>286</v>
      </c>
      <c r="FU12" s="521">
        <v>9.87</v>
      </c>
      <c r="FV12" s="503"/>
      <c r="FW12" s="496">
        <v>658</v>
      </c>
      <c r="FX12" s="496"/>
      <c r="FY12" s="496"/>
      <c r="FZ12" s="496"/>
      <c r="GA12" s="497"/>
      <c r="GB12" s="498">
        <f t="shared" si="21"/>
        <v>658</v>
      </c>
      <c r="GC12" s="502">
        <v>35.39</v>
      </c>
      <c r="GD12" s="543"/>
      <c r="GE12" s="518">
        <v>183925</v>
      </c>
      <c r="GF12" s="518">
        <v>7503</v>
      </c>
      <c r="GG12" s="518">
        <v>67</v>
      </c>
      <c r="GH12" s="518">
        <v>12</v>
      </c>
      <c r="GI12" s="519">
        <v>4</v>
      </c>
      <c r="GJ12" s="520">
        <f t="shared" si="22"/>
        <v>191511</v>
      </c>
      <c r="GK12" s="521">
        <v>3438.3</v>
      </c>
    </row>
  </sheetData>
  <sheetProtection/>
  <mergeCells count="25">
    <mergeCell ref="A3:A4"/>
    <mergeCell ref="B3:I3"/>
    <mergeCell ref="J3:Q3"/>
    <mergeCell ref="R3:Y3"/>
    <mergeCell ref="Z3:AG3"/>
    <mergeCell ref="DB3:DI3"/>
    <mergeCell ref="CT3:DA3"/>
    <mergeCell ref="DJ3:DQ3"/>
    <mergeCell ref="DR3:DY3"/>
    <mergeCell ref="AH3:AO3"/>
    <mergeCell ref="AP3:AW3"/>
    <mergeCell ref="AX3:BE3"/>
    <mergeCell ref="BF3:BM3"/>
    <mergeCell ref="BN3:BU3"/>
    <mergeCell ref="BV3:CC3"/>
    <mergeCell ref="CD3:CK3"/>
    <mergeCell ref="CL3:CS3"/>
    <mergeCell ref="GD3:GK3"/>
    <mergeCell ref="DZ3:EG3"/>
    <mergeCell ref="EH3:EO3"/>
    <mergeCell ref="EX3:FE3"/>
    <mergeCell ref="FF3:FM3"/>
    <mergeCell ref="FN3:FU3"/>
    <mergeCell ref="FV3:GC3"/>
    <mergeCell ref="EP3:EW3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EO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L3" sqref="AL3:AQ3"/>
    </sheetView>
  </sheetViews>
  <sheetFormatPr defaultColWidth="9.140625" defaultRowHeight="15"/>
  <cols>
    <col min="1" max="1" width="53.57421875" style="184" customWidth="1"/>
    <col min="2" max="2" width="9.57421875" style="184" bestFit="1" customWidth="1"/>
    <col min="3" max="3" width="11.8515625" style="184" bestFit="1" customWidth="1"/>
    <col min="4" max="4" width="14.421875" style="184" bestFit="1" customWidth="1"/>
    <col min="5" max="5" width="19.421875" style="184" bestFit="1" customWidth="1"/>
    <col min="6" max="6" width="12.8515625" style="184" bestFit="1" customWidth="1"/>
    <col min="7" max="7" width="14.8515625" style="184" bestFit="1" customWidth="1"/>
    <col min="8" max="8" width="9.57421875" style="184" bestFit="1" customWidth="1"/>
    <col min="9" max="9" width="11.8515625" style="184" bestFit="1" customWidth="1"/>
    <col min="10" max="10" width="14.421875" style="184" bestFit="1" customWidth="1"/>
    <col min="11" max="11" width="19.421875" style="184" bestFit="1" customWidth="1"/>
    <col min="12" max="12" width="12.8515625" style="184" bestFit="1" customWidth="1"/>
    <col min="13" max="13" width="14.8515625" style="184" bestFit="1" customWidth="1"/>
    <col min="14" max="14" width="9.57421875" style="184" bestFit="1" customWidth="1"/>
    <col min="15" max="15" width="11.8515625" style="184" bestFit="1" customWidth="1"/>
    <col min="16" max="16" width="14.421875" style="184" bestFit="1" customWidth="1"/>
    <col min="17" max="17" width="19.421875" style="184" bestFit="1" customWidth="1"/>
    <col min="18" max="18" width="12.8515625" style="184" bestFit="1" customWidth="1"/>
    <col min="19" max="19" width="14.8515625" style="184" bestFit="1" customWidth="1"/>
    <col min="20" max="20" width="9.57421875" style="184" bestFit="1" customWidth="1"/>
    <col min="21" max="21" width="11.8515625" style="184" bestFit="1" customWidth="1"/>
    <col min="22" max="22" width="14.421875" style="184" bestFit="1" customWidth="1"/>
    <col min="23" max="23" width="19.421875" style="184" bestFit="1" customWidth="1"/>
    <col min="24" max="24" width="12.8515625" style="184" bestFit="1" customWidth="1"/>
    <col min="25" max="25" width="14.8515625" style="184" bestFit="1" customWidth="1"/>
    <col min="26" max="26" width="9.57421875" style="184" bestFit="1" customWidth="1"/>
    <col min="27" max="27" width="11.8515625" style="184" bestFit="1" customWidth="1"/>
    <col min="28" max="28" width="14.421875" style="184" bestFit="1" customWidth="1"/>
    <col min="29" max="29" width="19.421875" style="184" bestFit="1" customWidth="1"/>
    <col min="30" max="30" width="12.8515625" style="184" bestFit="1" customWidth="1"/>
    <col min="31" max="31" width="14.8515625" style="184" bestFit="1" customWidth="1"/>
    <col min="32" max="32" width="9.57421875" style="184" bestFit="1" customWidth="1"/>
    <col min="33" max="33" width="11.8515625" style="184" bestFit="1" customWidth="1"/>
    <col min="34" max="34" width="14.421875" style="184" bestFit="1" customWidth="1"/>
    <col min="35" max="35" width="19.421875" style="184" bestFit="1" customWidth="1"/>
    <col min="36" max="36" width="12.8515625" style="184" bestFit="1" customWidth="1"/>
    <col min="37" max="37" width="14.8515625" style="184" bestFit="1" customWidth="1"/>
    <col min="38" max="38" width="9.57421875" style="184" bestFit="1" customWidth="1"/>
    <col min="39" max="39" width="11.8515625" style="184" bestFit="1" customWidth="1"/>
    <col min="40" max="40" width="14.421875" style="184" bestFit="1" customWidth="1"/>
    <col min="41" max="41" width="19.421875" style="184" bestFit="1" customWidth="1"/>
    <col min="42" max="42" width="12.8515625" style="184" bestFit="1" customWidth="1"/>
    <col min="43" max="43" width="14.8515625" style="184" bestFit="1" customWidth="1"/>
    <col min="44" max="44" width="9.57421875" style="184" bestFit="1" customWidth="1"/>
    <col min="45" max="45" width="11.8515625" style="184" bestFit="1" customWidth="1"/>
    <col min="46" max="46" width="14.421875" style="184" bestFit="1" customWidth="1"/>
    <col min="47" max="47" width="19.421875" style="184" bestFit="1" customWidth="1"/>
    <col min="48" max="48" width="12.8515625" style="184" bestFit="1" customWidth="1"/>
    <col min="49" max="49" width="14.8515625" style="184" bestFit="1" customWidth="1"/>
    <col min="50" max="50" width="9.57421875" style="184" bestFit="1" customWidth="1"/>
    <col min="51" max="51" width="11.8515625" style="184" bestFit="1" customWidth="1"/>
    <col min="52" max="52" width="14.421875" style="184" bestFit="1" customWidth="1"/>
    <col min="53" max="53" width="19.421875" style="184" bestFit="1" customWidth="1"/>
    <col min="54" max="54" width="12.8515625" style="184" bestFit="1" customWidth="1"/>
    <col min="55" max="55" width="14.8515625" style="184" bestFit="1" customWidth="1"/>
    <col min="56" max="56" width="9.57421875" style="184" bestFit="1" customWidth="1"/>
    <col min="57" max="57" width="11.8515625" style="184" bestFit="1" customWidth="1"/>
    <col min="58" max="58" width="14.421875" style="184" bestFit="1" customWidth="1"/>
    <col min="59" max="59" width="19.421875" style="184" bestFit="1" customWidth="1"/>
    <col min="60" max="60" width="12.8515625" style="184" bestFit="1" customWidth="1"/>
    <col min="61" max="61" width="14.8515625" style="184" bestFit="1" customWidth="1"/>
    <col min="62" max="62" width="9.57421875" style="184" bestFit="1" customWidth="1"/>
    <col min="63" max="63" width="11.8515625" style="184" bestFit="1" customWidth="1"/>
    <col min="64" max="64" width="14.421875" style="184" bestFit="1" customWidth="1"/>
    <col min="65" max="65" width="19.421875" style="184" bestFit="1" customWidth="1"/>
    <col min="66" max="66" width="12.8515625" style="184" bestFit="1" customWidth="1"/>
    <col min="67" max="67" width="14.8515625" style="184" bestFit="1" customWidth="1"/>
    <col min="68" max="68" width="9.57421875" style="184" bestFit="1" customWidth="1"/>
    <col min="69" max="69" width="11.8515625" style="184" bestFit="1" customWidth="1"/>
    <col min="70" max="70" width="14.421875" style="184" bestFit="1" customWidth="1"/>
    <col min="71" max="71" width="19.421875" style="184" bestFit="1" customWidth="1"/>
    <col min="72" max="72" width="12.8515625" style="184" bestFit="1" customWidth="1"/>
    <col min="73" max="73" width="14.8515625" style="184" bestFit="1" customWidth="1"/>
    <col min="74" max="74" width="9.57421875" style="184" bestFit="1" customWidth="1"/>
    <col min="75" max="75" width="11.8515625" style="184" bestFit="1" customWidth="1"/>
    <col min="76" max="76" width="14.421875" style="184" bestFit="1" customWidth="1"/>
    <col min="77" max="77" width="19.421875" style="184" bestFit="1" customWidth="1"/>
    <col min="78" max="78" width="12.8515625" style="184" bestFit="1" customWidth="1"/>
    <col min="79" max="79" width="14.8515625" style="184" bestFit="1" customWidth="1"/>
    <col min="80" max="80" width="9.57421875" style="184" bestFit="1" customWidth="1"/>
    <col min="81" max="81" width="11.8515625" style="184" bestFit="1" customWidth="1"/>
    <col min="82" max="82" width="14.421875" style="184" bestFit="1" customWidth="1"/>
    <col min="83" max="83" width="19.421875" style="184" bestFit="1" customWidth="1"/>
    <col min="84" max="84" width="12.8515625" style="184" bestFit="1" customWidth="1"/>
    <col min="85" max="85" width="14.8515625" style="184" bestFit="1" customWidth="1"/>
    <col min="86" max="86" width="9.57421875" style="184" bestFit="1" customWidth="1"/>
    <col min="87" max="87" width="11.8515625" style="184" bestFit="1" customWidth="1"/>
    <col min="88" max="88" width="14.421875" style="184" bestFit="1" customWidth="1"/>
    <col min="89" max="89" width="19.421875" style="184" bestFit="1" customWidth="1"/>
    <col min="90" max="90" width="12.8515625" style="184" bestFit="1" customWidth="1"/>
    <col min="91" max="91" width="14.8515625" style="184" bestFit="1" customWidth="1"/>
    <col min="92" max="92" width="9.57421875" style="184" bestFit="1" customWidth="1"/>
    <col min="93" max="93" width="11.8515625" style="184" bestFit="1" customWidth="1"/>
    <col min="94" max="94" width="14.421875" style="184" bestFit="1" customWidth="1"/>
    <col min="95" max="95" width="19.421875" style="184" bestFit="1" customWidth="1"/>
    <col min="96" max="96" width="12.8515625" style="184" bestFit="1" customWidth="1"/>
    <col min="97" max="97" width="14.8515625" style="184" bestFit="1" customWidth="1"/>
    <col min="98" max="98" width="9.57421875" style="184" bestFit="1" customWidth="1"/>
    <col min="99" max="99" width="11.8515625" style="184" bestFit="1" customWidth="1"/>
    <col min="100" max="100" width="14.421875" style="184" bestFit="1" customWidth="1"/>
    <col min="101" max="101" width="19.421875" style="184" bestFit="1" customWidth="1"/>
    <col min="102" max="102" width="12.8515625" style="184" bestFit="1" customWidth="1"/>
    <col min="103" max="103" width="14.8515625" style="184" bestFit="1" customWidth="1"/>
    <col min="104" max="104" width="9.57421875" style="184" bestFit="1" customWidth="1"/>
    <col min="105" max="105" width="11.8515625" style="184" bestFit="1" customWidth="1"/>
    <col min="106" max="106" width="14.421875" style="184" bestFit="1" customWidth="1"/>
    <col min="107" max="107" width="19.421875" style="184" bestFit="1" customWidth="1"/>
    <col min="108" max="108" width="12.8515625" style="184" bestFit="1" customWidth="1"/>
    <col min="109" max="109" width="14.8515625" style="184" bestFit="1" customWidth="1"/>
    <col min="110" max="110" width="9.57421875" style="184" bestFit="1" customWidth="1"/>
    <col min="111" max="111" width="11.8515625" style="184" bestFit="1" customWidth="1"/>
    <col min="112" max="112" width="14.421875" style="184" bestFit="1" customWidth="1"/>
    <col min="113" max="113" width="19.421875" style="184" bestFit="1" customWidth="1"/>
    <col min="114" max="114" width="12.8515625" style="184" bestFit="1" customWidth="1"/>
    <col min="115" max="115" width="14.8515625" style="184" bestFit="1" customWidth="1"/>
    <col min="116" max="116" width="9.57421875" style="184" bestFit="1" customWidth="1"/>
    <col min="117" max="117" width="11.8515625" style="184" bestFit="1" customWidth="1"/>
    <col min="118" max="118" width="14.421875" style="184" bestFit="1" customWidth="1"/>
    <col min="119" max="119" width="19.421875" style="184" bestFit="1" customWidth="1"/>
    <col min="120" max="120" width="12.8515625" style="184" bestFit="1" customWidth="1"/>
    <col min="121" max="121" width="12.7109375" style="184" customWidth="1"/>
    <col min="122" max="122" width="9.57421875" style="184" bestFit="1" customWidth="1"/>
    <col min="123" max="123" width="11.8515625" style="184" bestFit="1" customWidth="1"/>
    <col min="124" max="124" width="14.421875" style="184" bestFit="1" customWidth="1"/>
    <col min="125" max="125" width="19.421875" style="184" bestFit="1" customWidth="1"/>
    <col min="126" max="126" width="12.8515625" style="184" bestFit="1" customWidth="1"/>
    <col min="127" max="127" width="10.421875" style="184" customWidth="1"/>
    <col min="128" max="128" width="9.57421875" style="184" bestFit="1" customWidth="1"/>
    <col min="129" max="129" width="11.8515625" style="184" bestFit="1" customWidth="1"/>
    <col min="130" max="130" width="14.421875" style="184" bestFit="1" customWidth="1"/>
    <col min="131" max="131" width="19.421875" style="184" bestFit="1" customWidth="1"/>
    <col min="132" max="132" width="12.8515625" style="184" bestFit="1" customWidth="1"/>
    <col min="133" max="133" width="14.8515625" style="184" bestFit="1" customWidth="1"/>
    <col min="134" max="134" width="9.57421875" style="184" bestFit="1" customWidth="1"/>
    <col min="135" max="135" width="11.8515625" style="184" bestFit="1" customWidth="1"/>
    <col min="136" max="136" width="14.421875" style="184" bestFit="1" customWidth="1"/>
    <col min="137" max="137" width="19.421875" style="184" bestFit="1" customWidth="1"/>
    <col min="138" max="138" width="12.8515625" style="184" bestFit="1" customWidth="1"/>
    <col min="139" max="139" width="14.8515625" style="184" bestFit="1" customWidth="1"/>
    <col min="140" max="140" width="9.57421875" style="184" bestFit="1" customWidth="1"/>
    <col min="141" max="141" width="11.8515625" style="184" bestFit="1" customWidth="1"/>
    <col min="142" max="142" width="14.421875" style="184" bestFit="1" customWidth="1"/>
    <col min="143" max="143" width="19.421875" style="184" bestFit="1" customWidth="1"/>
    <col min="144" max="144" width="12.8515625" style="184" bestFit="1" customWidth="1"/>
    <col min="145" max="145" width="14.8515625" style="184" bestFit="1" customWidth="1"/>
    <col min="146" max="16384" width="9.140625" style="184" customWidth="1"/>
  </cols>
  <sheetData>
    <row r="1" spans="1:145" ht="17.25">
      <c r="A1" s="2138" t="s">
        <v>439</v>
      </c>
      <c r="B1" s="2138"/>
      <c r="C1" s="2138"/>
      <c r="D1" s="2138"/>
      <c r="E1" s="2138"/>
      <c r="F1" s="2138"/>
      <c r="G1" s="2138"/>
      <c r="H1" s="2138"/>
      <c r="I1" s="2138"/>
      <c r="J1" s="2138"/>
      <c r="K1" s="2138"/>
      <c r="L1" s="2138"/>
      <c r="M1" s="2138"/>
      <c r="N1" s="2138"/>
      <c r="O1" s="2138"/>
      <c r="P1" s="2138"/>
      <c r="Q1" s="2138"/>
      <c r="R1" s="2138"/>
      <c r="S1" s="2138"/>
      <c r="T1" s="2138"/>
      <c r="U1" s="2138"/>
      <c r="V1" s="2138"/>
      <c r="W1" s="2138"/>
      <c r="X1" s="2138"/>
      <c r="Y1" s="2138"/>
      <c r="Z1" s="2138"/>
      <c r="AA1" s="2138"/>
      <c r="AB1" s="2138"/>
      <c r="AC1" s="2138"/>
      <c r="AD1" s="2138"/>
      <c r="AE1" s="2138"/>
      <c r="AF1" s="2138"/>
      <c r="AG1" s="2138"/>
      <c r="AH1" s="2138"/>
      <c r="AI1" s="2138"/>
      <c r="AJ1" s="2138"/>
      <c r="AK1" s="2138"/>
      <c r="AL1" s="2138"/>
      <c r="AM1" s="2138"/>
      <c r="AN1" s="2138"/>
      <c r="AO1" s="2138"/>
      <c r="AP1" s="2138"/>
      <c r="AQ1" s="2138"/>
      <c r="AR1" s="2138"/>
      <c r="AS1" s="2138"/>
      <c r="AT1" s="2138"/>
      <c r="AU1" s="2138"/>
      <c r="AV1" s="2138"/>
      <c r="AW1" s="2138"/>
      <c r="AX1" s="2138"/>
      <c r="AY1" s="2138"/>
      <c r="AZ1" s="2138"/>
      <c r="BA1" s="2138"/>
      <c r="BB1" s="2138"/>
      <c r="BC1" s="2138"/>
      <c r="BD1" s="2138"/>
      <c r="BE1" s="2138"/>
      <c r="BF1" s="2138"/>
      <c r="BG1" s="2138"/>
      <c r="BH1" s="2138"/>
      <c r="BI1" s="2138"/>
      <c r="BJ1" s="2138"/>
      <c r="BK1" s="2138"/>
      <c r="BL1" s="2138"/>
      <c r="BM1" s="2138"/>
      <c r="BN1" s="2138"/>
      <c r="BO1" s="2138"/>
      <c r="BP1" s="2138"/>
      <c r="BQ1" s="2138"/>
      <c r="BR1" s="2138"/>
      <c r="BS1" s="2138"/>
      <c r="BT1" s="2138"/>
      <c r="BU1" s="2138"/>
      <c r="BV1" s="2138"/>
      <c r="BW1" s="2138"/>
      <c r="BX1" s="2138"/>
      <c r="BY1" s="2138"/>
      <c r="BZ1" s="2138"/>
      <c r="CA1" s="2138"/>
      <c r="CB1" s="2138"/>
      <c r="CC1" s="2138"/>
      <c r="CD1" s="2138"/>
      <c r="CE1" s="2138"/>
      <c r="CF1" s="2138"/>
      <c r="CG1" s="2138"/>
      <c r="CH1" s="2138"/>
      <c r="CI1" s="2138"/>
      <c r="CJ1" s="2138"/>
      <c r="CK1" s="2138"/>
      <c r="CL1" s="2138"/>
      <c r="CM1" s="2138"/>
      <c r="CN1" s="2138"/>
      <c r="CO1" s="2138"/>
      <c r="CP1" s="2138"/>
      <c r="CQ1" s="2138"/>
      <c r="CR1" s="2138"/>
      <c r="CS1" s="2138"/>
      <c r="CT1" s="2138"/>
      <c r="CU1" s="2138"/>
      <c r="CV1" s="2138"/>
      <c r="CW1" s="2138"/>
      <c r="CX1" s="2138"/>
      <c r="CY1" s="2138"/>
      <c r="CZ1" s="2138"/>
      <c r="DA1" s="2138"/>
      <c r="DB1" s="2138"/>
      <c r="DC1" s="2138"/>
      <c r="DD1" s="2138"/>
      <c r="DE1" s="2138"/>
      <c r="DF1" s="2138"/>
      <c r="DG1" s="2138"/>
      <c r="DH1" s="2138"/>
      <c r="DI1" s="2138"/>
      <c r="DJ1" s="2138"/>
      <c r="DK1" s="2138"/>
      <c r="DL1" s="2138"/>
      <c r="DM1" s="2138"/>
      <c r="DN1" s="2138"/>
      <c r="DO1" s="2138"/>
      <c r="DP1" s="2138"/>
      <c r="DQ1" s="2138"/>
      <c r="DR1" s="2138"/>
      <c r="DS1" s="2138"/>
      <c r="DT1" s="2138"/>
      <c r="DU1" s="2138"/>
      <c r="DV1" s="2138"/>
      <c r="DW1" s="2138"/>
      <c r="DX1" s="2138"/>
      <c r="DY1" s="2138"/>
      <c r="DZ1" s="2138"/>
      <c r="EA1" s="2138"/>
      <c r="EB1" s="2138"/>
      <c r="EC1" s="2138"/>
      <c r="ED1" s="2138"/>
      <c r="EE1" s="2138"/>
      <c r="EF1" s="2138"/>
      <c r="EG1" s="2138"/>
      <c r="EH1" s="2138"/>
      <c r="EI1" s="2138"/>
      <c r="EJ1" s="2138"/>
      <c r="EK1" s="2138"/>
      <c r="EL1" s="2138"/>
      <c r="EM1" s="2138"/>
      <c r="EN1" s="2138"/>
      <c r="EO1" s="2138"/>
    </row>
    <row r="2" spans="1:145" ht="10.5" customHeight="1" thickBot="1">
      <c r="A2" s="2139"/>
      <c r="B2" s="2139"/>
      <c r="C2" s="2139"/>
      <c r="D2" s="2139"/>
      <c r="E2" s="2139"/>
      <c r="F2" s="2139"/>
      <c r="G2" s="2139"/>
      <c r="H2" s="2139"/>
      <c r="I2" s="2139"/>
      <c r="J2" s="2139"/>
      <c r="K2" s="2139"/>
      <c r="L2" s="2139"/>
      <c r="M2" s="2139"/>
      <c r="N2" s="2139"/>
      <c r="O2" s="2139"/>
      <c r="P2" s="2139"/>
      <c r="Q2" s="2139"/>
      <c r="R2" s="2139"/>
      <c r="S2" s="2139"/>
      <c r="T2" s="2139"/>
      <c r="U2" s="2139"/>
      <c r="V2" s="2139"/>
      <c r="W2" s="2139"/>
      <c r="X2" s="2139"/>
      <c r="Y2" s="2139"/>
      <c r="Z2" s="2139"/>
      <c r="AA2" s="2139"/>
      <c r="AB2" s="2139"/>
      <c r="AC2" s="2139"/>
      <c r="AD2" s="2139"/>
      <c r="AE2" s="2139"/>
      <c r="AF2" s="2139"/>
      <c r="AG2" s="2139"/>
      <c r="AH2" s="2139"/>
      <c r="AI2" s="2139"/>
      <c r="AJ2" s="2139"/>
      <c r="AK2" s="2139"/>
      <c r="AL2" s="2139"/>
      <c r="AM2" s="2139"/>
      <c r="AN2" s="2139"/>
      <c r="AO2" s="2139"/>
      <c r="AP2" s="2139"/>
      <c r="AQ2" s="2139"/>
      <c r="AR2" s="2139"/>
      <c r="AS2" s="2139"/>
      <c r="AT2" s="2139"/>
      <c r="AU2" s="2139"/>
      <c r="AV2" s="2139"/>
      <c r="AW2" s="2139"/>
      <c r="AX2" s="2139"/>
      <c r="AY2" s="2139"/>
      <c r="AZ2" s="2139"/>
      <c r="BA2" s="2139"/>
      <c r="BB2" s="2139"/>
      <c r="BC2" s="2139"/>
      <c r="BD2" s="2139"/>
      <c r="BE2" s="2139"/>
      <c r="BF2" s="2139"/>
      <c r="BG2" s="2139"/>
      <c r="BH2" s="2139"/>
      <c r="BI2" s="2139"/>
      <c r="BJ2" s="2139"/>
      <c r="BK2" s="2139"/>
      <c r="BL2" s="2139"/>
      <c r="BM2" s="2139"/>
      <c r="BN2" s="2139"/>
      <c r="BO2" s="2139"/>
      <c r="BP2" s="2139"/>
      <c r="BQ2" s="2139"/>
      <c r="BR2" s="2139"/>
      <c r="BS2" s="2139"/>
      <c r="BT2" s="2139"/>
      <c r="BU2" s="2139"/>
      <c r="BV2" s="2139"/>
      <c r="BW2" s="2139"/>
      <c r="BX2" s="2139"/>
      <c r="BY2" s="2139"/>
      <c r="BZ2" s="2139"/>
      <c r="CA2" s="2139"/>
      <c r="CB2" s="2139"/>
      <c r="CC2" s="2139"/>
      <c r="CD2" s="2139"/>
      <c r="CE2" s="2139"/>
      <c r="CF2" s="2139"/>
      <c r="CG2" s="2139"/>
      <c r="CH2" s="2139"/>
      <c r="CI2" s="2139"/>
      <c r="CJ2" s="2139"/>
      <c r="CK2" s="2139"/>
      <c r="CL2" s="2139"/>
      <c r="CM2" s="2139"/>
      <c r="CN2" s="2139"/>
      <c r="CO2" s="2139"/>
      <c r="CP2" s="2139"/>
      <c r="CQ2" s="2139"/>
      <c r="CR2" s="2139"/>
      <c r="CS2" s="2139"/>
      <c r="CT2" s="2139"/>
      <c r="CU2" s="2139"/>
      <c r="CV2" s="2139"/>
      <c r="CW2" s="2139"/>
      <c r="CX2" s="2139"/>
      <c r="CY2" s="2139"/>
      <c r="CZ2" s="2139"/>
      <c r="DA2" s="2139"/>
      <c r="DB2" s="2139"/>
      <c r="DC2" s="2139"/>
      <c r="DD2" s="2139"/>
      <c r="DE2" s="2139"/>
      <c r="DF2" s="2139"/>
      <c r="DG2" s="2139"/>
      <c r="DH2" s="2139"/>
      <c r="DI2" s="2139"/>
      <c r="DJ2" s="2139"/>
      <c r="DK2" s="2139"/>
      <c r="DL2" s="2139"/>
      <c r="DM2" s="2139"/>
      <c r="DN2" s="2139"/>
      <c r="DO2" s="2139"/>
      <c r="DP2" s="2139"/>
      <c r="DQ2" s="2139"/>
      <c r="DR2" s="2139"/>
      <c r="DS2" s="2139"/>
      <c r="DT2" s="2139"/>
      <c r="DU2" s="2139"/>
      <c r="DV2" s="2139"/>
      <c r="DW2" s="2139"/>
      <c r="DX2" s="2139"/>
      <c r="DY2" s="2139"/>
      <c r="DZ2" s="2139"/>
      <c r="EA2" s="2139"/>
      <c r="EB2" s="2139"/>
      <c r="EC2" s="2139"/>
      <c r="ED2" s="2139"/>
      <c r="EE2" s="2139"/>
      <c r="EF2" s="2139"/>
      <c r="EG2" s="2139"/>
      <c r="EH2" s="2139"/>
      <c r="EI2" s="2139"/>
      <c r="EJ2" s="2139"/>
      <c r="EK2" s="2139"/>
      <c r="EL2" s="2139"/>
      <c r="EM2" s="2139"/>
      <c r="EN2" s="2139"/>
      <c r="EO2" s="2139"/>
    </row>
    <row r="3" spans="1:145" s="1176" customFormat="1" ht="17.25" customHeight="1" thickBot="1">
      <c r="A3" s="2140" t="s">
        <v>122</v>
      </c>
      <c r="B3" s="2142" t="s">
        <v>187</v>
      </c>
      <c r="C3" s="2143"/>
      <c r="D3" s="2143"/>
      <c r="E3" s="2143"/>
      <c r="F3" s="2143"/>
      <c r="G3" s="2144"/>
      <c r="H3" s="1956" t="s">
        <v>188</v>
      </c>
      <c r="I3" s="1954"/>
      <c r="J3" s="1954"/>
      <c r="K3" s="1954"/>
      <c r="L3" s="1954"/>
      <c r="M3" s="1955"/>
      <c r="N3" s="1956" t="s">
        <v>189</v>
      </c>
      <c r="O3" s="1954"/>
      <c r="P3" s="1954"/>
      <c r="Q3" s="1954"/>
      <c r="R3" s="1954"/>
      <c r="S3" s="1955"/>
      <c r="T3" s="1954" t="s">
        <v>190</v>
      </c>
      <c r="U3" s="1954"/>
      <c r="V3" s="1954"/>
      <c r="W3" s="1954"/>
      <c r="X3" s="1954"/>
      <c r="Y3" s="1955"/>
      <c r="Z3" s="1954" t="s">
        <v>191</v>
      </c>
      <c r="AA3" s="1954"/>
      <c r="AB3" s="1954"/>
      <c r="AC3" s="1954"/>
      <c r="AD3" s="1954"/>
      <c r="AE3" s="1955"/>
      <c r="AF3" s="1954" t="s">
        <v>192</v>
      </c>
      <c r="AG3" s="1954"/>
      <c r="AH3" s="1954"/>
      <c r="AI3" s="1954"/>
      <c r="AJ3" s="1954"/>
      <c r="AK3" s="1955"/>
      <c r="AL3" s="1954" t="s">
        <v>570</v>
      </c>
      <c r="AM3" s="1954"/>
      <c r="AN3" s="1954"/>
      <c r="AO3" s="1954"/>
      <c r="AP3" s="1954"/>
      <c r="AQ3" s="1955"/>
      <c r="AR3" s="1954" t="s">
        <v>194</v>
      </c>
      <c r="AS3" s="1954"/>
      <c r="AT3" s="1954"/>
      <c r="AU3" s="1954"/>
      <c r="AV3" s="1954"/>
      <c r="AW3" s="1955"/>
      <c r="AX3" s="1954" t="s">
        <v>195</v>
      </c>
      <c r="AY3" s="1954"/>
      <c r="AZ3" s="1954"/>
      <c r="BA3" s="1954"/>
      <c r="BB3" s="1954"/>
      <c r="BC3" s="1955"/>
      <c r="BD3" s="1954" t="s">
        <v>196</v>
      </c>
      <c r="BE3" s="1954"/>
      <c r="BF3" s="1954"/>
      <c r="BG3" s="1954"/>
      <c r="BH3" s="1954"/>
      <c r="BI3" s="1955"/>
      <c r="BJ3" s="1954" t="s">
        <v>197</v>
      </c>
      <c r="BK3" s="1954"/>
      <c r="BL3" s="1954"/>
      <c r="BM3" s="1954"/>
      <c r="BN3" s="1954"/>
      <c r="BO3" s="1955"/>
      <c r="BP3" s="1954" t="s">
        <v>198</v>
      </c>
      <c r="BQ3" s="1954"/>
      <c r="BR3" s="1954"/>
      <c r="BS3" s="1954"/>
      <c r="BT3" s="1954"/>
      <c r="BU3" s="1955"/>
      <c r="BV3" s="1956" t="s">
        <v>283</v>
      </c>
      <c r="BW3" s="1954"/>
      <c r="BX3" s="1954"/>
      <c r="BY3" s="1954"/>
      <c r="BZ3" s="1954"/>
      <c r="CA3" s="1955"/>
      <c r="CB3" s="1956" t="s">
        <v>200</v>
      </c>
      <c r="CC3" s="1954"/>
      <c r="CD3" s="1954"/>
      <c r="CE3" s="1954"/>
      <c r="CF3" s="1954"/>
      <c r="CG3" s="1955"/>
      <c r="CH3" s="2135" t="s">
        <v>201</v>
      </c>
      <c r="CI3" s="2136"/>
      <c r="CJ3" s="2136"/>
      <c r="CK3" s="2136"/>
      <c r="CL3" s="2136"/>
      <c r="CM3" s="2137"/>
      <c r="CN3" s="1956" t="s">
        <v>202</v>
      </c>
      <c r="CO3" s="1954"/>
      <c r="CP3" s="1954"/>
      <c r="CQ3" s="1954"/>
      <c r="CR3" s="1954"/>
      <c r="CS3" s="1955"/>
      <c r="CT3" s="1956" t="s">
        <v>203</v>
      </c>
      <c r="CU3" s="1954"/>
      <c r="CV3" s="1954"/>
      <c r="CW3" s="1954"/>
      <c r="CX3" s="1954"/>
      <c r="CY3" s="1955"/>
      <c r="CZ3" s="1956" t="s">
        <v>204</v>
      </c>
      <c r="DA3" s="1954"/>
      <c r="DB3" s="1954"/>
      <c r="DC3" s="1954"/>
      <c r="DD3" s="1954"/>
      <c r="DE3" s="1955"/>
      <c r="DF3" s="2135" t="s">
        <v>205</v>
      </c>
      <c r="DG3" s="2136"/>
      <c r="DH3" s="2136"/>
      <c r="DI3" s="2136"/>
      <c r="DJ3" s="2136"/>
      <c r="DK3" s="2137"/>
      <c r="DL3" s="1956" t="s">
        <v>206</v>
      </c>
      <c r="DM3" s="1954"/>
      <c r="DN3" s="1954"/>
      <c r="DO3" s="1954"/>
      <c r="DP3" s="1954"/>
      <c r="DQ3" s="1955"/>
      <c r="DR3" s="1956" t="s">
        <v>207</v>
      </c>
      <c r="DS3" s="1954"/>
      <c r="DT3" s="1954"/>
      <c r="DU3" s="1954"/>
      <c r="DV3" s="1954"/>
      <c r="DW3" s="1955"/>
      <c r="DX3" s="1956" t="s">
        <v>208</v>
      </c>
      <c r="DY3" s="1954"/>
      <c r="DZ3" s="1954"/>
      <c r="EA3" s="1954"/>
      <c r="EB3" s="1954"/>
      <c r="EC3" s="1954"/>
      <c r="ED3" s="1956" t="s">
        <v>571</v>
      </c>
      <c r="EE3" s="1954"/>
      <c r="EF3" s="1954"/>
      <c r="EG3" s="1954"/>
      <c r="EH3" s="1954"/>
      <c r="EI3" s="1954"/>
      <c r="EJ3" s="2135" t="s">
        <v>210</v>
      </c>
      <c r="EK3" s="2136"/>
      <c r="EL3" s="2136"/>
      <c r="EM3" s="2136"/>
      <c r="EN3" s="2136"/>
      <c r="EO3" s="2137"/>
    </row>
    <row r="4" spans="1:145" s="1134" customFormat="1" ht="17.25" thickBot="1">
      <c r="A4" s="2141"/>
      <c r="B4" s="1529" t="s">
        <v>123</v>
      </c>
      <c r="C4" s="953" t="s">
        <v>124</v>
      </c>
      <c r="D4" s="953" t="s">
        <v>125</v>
      </c>
      <c r="E4" s="953" t="s">
        <v>126</v>
      </c>
      <c r="F4" s="953" t="s">
        <v>127</v>
      </c>
      <c r="G4" s="954" t="s">
        <v>128</v>
      </c>
      <c r="H4" s="955" t="s">
        <v>123</v>
      </c>
      <c r="I4" s="956" t="s">
        <v>124</v>
      </c>
      <c r="J4" s="956" t="s">
        <v>125</v>
      </c>
      <c r="K4" s="956" t="s">
        <v>126</v>
      </c>
      <c r="L4" s="956" t="s">
        <v>127</v>
      </c>
      <c r="M4" s="955" t="s">
        <v>128</v>
      </c>
      <c r="N4" s="892" t="s">
        <v>123</v>
      </c>
      <c r="O4" s="956" t="s">
        <v>124</v>
      </c>
      <c r="P4" s="956" t="s">
        <v>125</v>
      </c>
      <c r="Q4" s="956" t="s">
        <v>126</v>
      </c>
      <c r="R4" s="956" t="s">
        <v>127</v>
      </c>
      <c r="S4" s="955" t="s">
        <v>128</v>
      </c>
      <c r="T4" s="892" t="s">
        <v>123</v>
      </c>
      <c r="U4" s="956" t="s">
        <v>124</v>
      </c>
      <c r="V4" s="956" t="s">
        <v>125</v>
      </c>
      <c r="W4" s="956" t="s">
        <v>126</v>
      </c>
      <c r="X4" s="956" t="s">
        <v>127</v>
      </c>
      <c r="Y4" s="955" t="s">
        <v>128</v>
      </c>
      <c r="Z4" s="892" t="s">
        <v>123</v>
      </c>
      <c r="AA4" s="956" t="s">
        <v>124</v>
      </c>
      <c r="AB4" s="956" t="s">
        <v>125</v>
      </c>
      <c r="AC4" s="956" t="s">
        <v>126</v>
      </c>
      <c r="AD4" s="956" t="s">
        <v>127</v>
      </c>
      <c r="AE4" s="955" t="s">
        <v>128</v>
      </c>
      <c r="AF4" s="892" t="s">
        <v>123</v>
      </c>
      <c r="AG4" s="956" t="s">
        <v>124</v>
      </c>
      <c r="AH4" s="956" t="s">
        <v>125</v>
      </c>
      <c r="AI4" s="956" t="s">
        <v>126</v>
      </c>
      <c r="AJ4" s="956" t="s">
        <v>127</v>
      </c>
      <c r="AK4" s="955" t="s">
        <v>128</v>
      </c>
      <c r="AL4" s="892" t="s">
        <v>123</v>
      </c>
      <c r="AM4" s="956" t="s">
        <v>124</v>
      </c>
      <c r="AN4" s="956" t="s">
        <v>125</v>
      </c>
      <c r="AO4" s="956" t="s">
        <v>126</v>
      </c>
      <c r="AP4" s="956" t="s">
        <v>127</v>
      </c>
      <c r="AQ4" s="955" t="s">
        <v>128</v>
      </c>
      <c r="AR4" s="892" t="s">
        <v>123</v>
      </c>
      <c r="AS4" s="956" t="s">
        <v>124</v>
      </c>
      <c r="AT4" s="956" t="s">
        <v>125</v>
      </c>
      <c r="AU4" s="956" t="s">
        <v>126</v>
      </c>
      <c r="AV4" s="956" t="s">
        <v>127</v>
      </c>
      <c r="AW4" s="955" t="s">
        <v>128</v>
      </c>
      <c r="AX4" s="892" t="s">
        <v>123</v>
      </c>
      <c r="AY4" s="956" t="s">
        <v>124</v>
      </c>
      <c r="AZ4" s="956" t="s">
        <v>125</v>
      </c>
      <c r="BA4" s="956" t="s">
        <v>126</v>
      </c>
      <c r="BB4" s="956" t="s">
        <v>127</v>
      </c>
      <c r="BC4" s="955" t="s">
        <v>128</v>
      </c>
      <c r="BD4" s="892" t="s">
        <v>123</v>
      </c>
      <c r="BE4" s="956" t="s">
        <v>124</v>
      </c>
      <c r="BF4" s="956" t="s">
        <v>125</v>
      </c>
      <c r="BG4" s="956" t="s">
        <v>126</v>
      </c>
      <c r="BH4" s="956" t="s">
        <v>127</v>
      </c>
      <c r="BI4" s="955" t="s">
        <v>128</v>
      </c>
      <c r="BJ4" s="892" t="s">
        <v>123</v>
      </c>
      <c r="BK4" s="956" t="s">
        <v>124</v>
      </c>
      <c r="BL4" s="956" t="s">
        <v>125</v>
      </c>
      <c r="BM4" s="956" t="s">
        <v>126</v>
      </c>
      <c r="BN4" s="956" t="s">
        <v>127</v>
      </c>
      <c r="BO4" s="955" t="s">
        <v>128</v>
      </c>
      <c r="BP4" s="892" t="s">
        <v>123</v>
      </c>
      <c r="BQ4" s="956" t="s">
        <v>124</v>
      </c>
      <c r="BR4" s="956" t="s">
        <v>125</v>
      </c>
      <c r="BS4" s="956" t="s">
        <v>126</v>
      </c>
      <c r="BT4" s="956" t="s">
        <v>127</v>
      </c>
      <c r="BU4" s="955" t="s">
        <v>128</v>
      </c>
      <c r="BV4" s="892" t="s">
        <v>123</v>
      </c>
      <c r="BW4" s="956" t="s">
        <v>124</v>
      </c>
      <c r="BX4" s="956" t="s">
        <v>125</v>
      </c>
      <c r="BY4" s="956" t="s">
        <v>126</v>
      </c>
      <c r="BZ4" s="956" t="s">
        <v>127</v>
      </c>
      <c r="CA4" s="955" t="s">
        <v>128</v>
      </c>
      <c r="CB4" s="892" t="s">
        <v>123</v>
      </c>
      <c r="CC4" s="956" t="s">
        <v>124</v>
      </c>
      <c r="CD4" s="956" t="s">
        <v>125</v>
      </c>
      <c r="CE4" s="956" t="s">
        <v>126</v>
      </c>
      <c r="CF4" s="956" t="s">
        <v>127</v>
      </c>
      <c r="CG4" s="955" t="s">
        <v>128</v>
      </c>
      <c r="CH4" s="892" t="s">
        <v>123</v>
      </c>
      <c r="CI4" s="956" t="s">
        <v>124</v>
      </c>
      <c r="CJ4" s="956" t="s">
        <v>125</v>
      </c>
      <c r="CK4" s="956" t="s">
        <v>126</v>
      </c>
      <c r="CL4" s="956" t="s">
        <v>127</v>
      </c>
      <c r="CM4" s="955" t="s">
        <v>128</v>
      </c>
      <c r="CN4" s="892" t="s">
        <v>123</v>
      </c>
      <c r="CO4" s="956" t="s">
        <v>124</v>
      </c>
      <c r="CP4" s="956" t="s">
        <v>125</v>
      </c>
      <c r="CQ4" s="956" t="s">
        <v>126</v>
      </c>
      <c r="CR4" s="956" t="s">
        <v>127</v>
      </c>
      <c r="CS4" s="955" t="s">
        <v>128</v>
      </c>
      <c r="CT4" s="892" t="s">
        <v>123</v>
      </c>
      <c r="CU4" s="956" t="s">
        <v>124</v>
      </c>
      <c r="CV4" s="956" t="s">
        <v>125</v>
      </c>
      <c r="CW4" s="956" t="s">
        <v>126</v>
      </c>
      <c r="CX4" s="956" t="s">
        <v>127</v>
      </c>
      <c r="CY4" s="955" t="s">
        <v>128</v>
      </c>
      <c r="CZ4" s="892" t="s">
        <v>123</v>
      </c>
      <c r="DA4" s="956" t="s">
        <v>124</v>
      </c>
      <c r="DB4" s="956" t="s">
        <v>125</v>
      </c>
      <c r="DC4" s="956" t="s">
        <v>126</v>
      </c>
      <c r="DD4" s="956" t="s">
        <v>127</v>
      </c>
      <c r="DE4" s="955" t="s">
        <v>128</v>
      </c>
      <c r="DF4" s="892" t="s">
        <v>123</v>
      </c>
      <c r="DG4" s="956" t="s">
        <v>124</v>
      </c>
      <c r="DH4" s="956" t="s">
        <v>125</v>
      </c>
      <c r="DI4" s="956" t="s">
        <v>126</v>
      </c>
      <c r="DJ4" s="956" t="s">
        <v>127</v>
      </c>
      <c r="DK4" s="955" t="s">
        <v>128</v>
      </c>
      <c r="DL4" s="892" t="s">
        <v>123</v>
      </c>
      <c r="DM4" s="956" t="s">
        <v>124</v>
      </c>
      <c r="DN4" s="956" t="s">
        <v>125</v>
      </c>
      <c r="DO4" s="956" t="s">
        <v>126</v>
      </c>
      <c r="DP4" s="956" t="s">
        <v>127</v>
      </c>
      <c r="DQ4" s="955" t="s">
        <v>128</v>
      </c>
      <c r="DR4" s="892" t="s">
        <v>123</v>
      </c>
      <c r="DS4" s="956" t="s">
        <v>124</v>
      </c>
      <c r="DT4" s="956" t="s">
        <v>125</v>
      </c>
      <c r="DU4" s="956" t="s">
        <v>126</v>
      </c>
      <c r="DV4" s="956" t="s">
        <v>127</v>
      </c>
      <c r="DW4" s="955" t="s">
        <v>128</v>
      </c>
      <c r="DX4" s="892" t="s">
        <v>123</v>
      </c>
      <c r="DY4" s="956" t="s">
        <v>124</v>
      </c>
      <c r="DZ4" s="956" t="s">
        <v>125</v>
      </c>
      <c r="EA4" s="956" t="s">
        <v>126</v>
      </c>
      <c r="EB4" s="956" t="s">
        <v>127</v>
      </c>
      <c r="EC4" s="955" t="s">
        <v>128</v>
      </c>
      <c r="ED4" s="892" t="s">
        <v>123</v>
      </c>
      <c r="EE4" s="956" t="s">
        <v>124</v>
      </c>
      <c r="EF4" s="956" t="s">
        <v>125</v>
      </c>
      <c r="EG4" s="956" t="s">
        <v>126</v>
      </c>
      <c r="EH4" s="956" t="s">
        <v>127</v>
      </c>
      <c r="EI4" s="955" t="s">
        <v>128</v>
      </c>
      <c r="EJ4" s="892" t="s">
        <v>123</v>
      </c>
      <c r="EK4" s="956" t="s">
        <v>124</v>
      </c>
      <c r="EL4" s="956" t="s">
        <v>125</v>
      </c>
      <c r="EM4" s="956" t="s">
        <v>126</v>
      </c>
      <c r="EN4" s="956" t="s">
        <v>127</v>
      </c>
      <c r="EO4" s="955" t="s">
        <v>128</v>
      </c>
    </row>
    <row r="5" spans="1:145" s="1214" customFormat="1" ht="18">
      <c r="A5" s="825" t="s">
        <v>129</v>
      </c>
      <c r="B5" s="1195">
        <v>24</v>
      </c>
      <c r="C5" s="1196">
        <v>1206</v>
      </c>
      <c r="D5" s="1196">
        <v>572</v>
      </c>
      <c r="E5" s="1196">
        <v>377</v>
      </c>
      <c r="F5" s="1196">
        <v>107</v>
      </c>
      <c r="G5" s="1197">
        <v>4202</v>
      </c>
      <c r="H5" s="1221"/>
      <c r="I5" s="1028">
        <v>14</v>
      </c>
      <c r="J5" s="1028">
        <v>549</v>
      </c>
      <c r="K5" s="1028"/>
      <c r="L5" s="1028">
        <v>508</v>
      </c>
      <c r="M5" s="1029">
        <v>11</v>
      </c>
      <c r="N5" s="1030">
        <v>2</v>
      </c>
      <c r="O5" s="1028">
        <v>1845</v>
      </c>
      <c r="P5" s="1028">
        <v>6</v>
      </c>
      <c r="Q5" s="1028">
        <v>1979</v>
      </c>
      <c r="R5" s="1028">
        <v>25</v>
      </c>
      <c r="S5" s="1029">
        <v>53</v>
      </c>
      <c r="T5" s="1221">
        <v>3</v>
      </c>
      <c r="U5" s="1028">
        <v>353</v>
      </c>
      <c r="V5" s="1028"/>
      <c r="W5" s="1028">
        <v>3165</v>
      </c>
      <c r="X5" s="1028">
        <v>415</v>
      </c>
      <c r="Y5" s="1029">
        <v>45</v>
      </c>
      <c r="Z5" s="1221">
        <v>7</v>
      </c>
      <c r="AA5" s="1028">
        <v>492</v>
      </c>
      <c r="AB5" s="1028">
        <v>285</v>
      </c>
      <c r="AC5" s="1028">
        <v>256</v>
      </c>
      <c r="AD5" s="1028">
        <v>233</v>
      </c>
      <c r="AE5" s="1029"/>
      <c r="AF5" s="1221">
        <v>1</v>
      </c>
      <c r="AG5" s="1028">
        <v>190</v>
      </c>
      <c r="AH5" s="1028"/>
      <c r="AI5" s="1028">
        <v>174</v>
      </c>
      <c r="AJ5" s="1028">
        <v>240</v>
      </c>
      <c r="AK5" s="1029">
        <v>708</v>
      </c>
      <c r="AL5" s="1221">
        <v>262</v>
      </c>
      <c r="AM5" s="1028">
        <v>9</v>
      </c>
      <c r="AN5" s="1028"/>
      <c r="AO5" s="1028"/>
      <c r="AP5" s="1028">
        <v>545</v>
      </c>
      <c r="AQ5" s="1029"/>
      <c r="AR5" s="1221"/>
      <c r="AS5" s="1028"/>
      <c r="AT5" s="1028">
        <v>251</v>
      </c>
      <c r="AU5" s="1028">
        <v>197</v>
      </c>
      <c r="AV5" s="1028">
        <v>249</v>
      </c>
      <c r="AW5" s="1029"/>
      <c r="AX5" s="1221"/>
      <c r="AY5" s="1028">
        <v>22</v>
      </c>
      <c r="AZ5" s="1028">
        <v>300</v>
      </c>
      <c r="BA5" s="1028">
        <v>250</v>
      </c>
      <c r="BB5" s="1028">
        <v>807</v>
      </c>
      <c r="BC5" s="1029"/>
      <c r="BD5" s="1221">
        <v>8</v>
      </c>
      <c r="BE5" s="1028">
        <v>1505</v>
      </c>
      <c r="BF5" s="1028">
        <v>803</v>
      </c>
      <c r="BG5" s="1028">
        <v>91</v>
      </c>
      <c r="BH5" s="1028">
        <v>199</v>
      </c>
      <c r="BI5" s="1029">
        <v>215</v>
      </c>
      <c r="BJ5" s="1221">
        <v>559</v>
      </c>
      <c r="BK5" s="1028">
        <v>122</v>
      </c>
      <c r="BL5" s="1028">
        <v>40610</v>
      </c>
      <c r="BM5" s="1028">
        <v>3210</v>
      </c>
      <c r="BN5" s="1028">
        <v>6493</v>
      </c>
      <c r="BO5" s="1029">
        <v>74549</v>
      </c>
      <c r="BP5" s="1221">
        <v>1211</v>
      </c>
      <c r="BQ5" s="1028">
        <v>7613</v>
      </c>
      <c r="BR5" s="1028">
        <v>448</v>
      </c>
      <c r="BS5" s="1028">
        <v>11520</v>
      </c>
      <c r="BT5" s="1028">
        <v>4669</v>
      </c>
      <c r="BU5" s="1029">
        <v>321</v>
      </c>
      <c r="BV5" s="1275">
        <v>8</v>
      </c>
      <c r="BW5" s="1223">
        <v>762</v>
      </c>
      <c r="BX5" s="1223">
        <v>6</v>
      </c>
      <c r="BY5" s="1223"/>
      <c r="BZ5" s="1223">
        <v>114</v>
      </c>
      <c r="CA5" s="1224"/>
      <c r="CB5" s="1030">
        <v>10</v>
      </c>
      <c r="CC5" s="1028">
        <v>186</v>
      </c>
      <c r="CD5" s="1028">
        <v>502</v>
      </c>
      <c r="CE5" s="1028"/>
      <c r="CF5" s="1028">
        <v>16602</v>
      </c>
      <c r="CG5" s="1029">
        <v>6</v>
      </c>
      <c r="CH5" s="1030">
        <f>12+176</f>
        <v>188</v>
      </c>
      <c r="CI5" s="1028">
        <v>1346</v>
      </c>
      <c r="CJ5" s="1028">
        <v>418</v>
      </c>
      <c r="CK5" s="1028">
        <v>34</v>
      </c>
      <c r="CL5" s="1028">
        <v>849</v>
      </c>
      <c r="CM5" s="1029">
        <v>274</v>
      </c>
      <c r="CN5" s="1030">
        <v>2</v>
      </c>
      <c r="CO5" s="1028">
        <v>156</v>
      </c>
      <c r="CP5" s="1028"/>
      <c r="CQ5" s="1028"/>
      <c r="CR5" s="1028"/>
      <c r="CS5" s="1029"/>
      <c r="CT5" s="1030"/>
      <c r="CU5" s="1028">
        <v>2131</v>
      </c>
      <c r="CV5" s="1028">
        <v>5712</v>
      </c>
      <c r="CW5" s="1028">
        <v>32</v>
      </c>
      <c r="CX5" s="1028">
        <v>3883</v>
      </c>
      <c r="CY5" s="1029">
        <v>4</v>
      </c>
      <c r="CZ5" s="1030">
        <v>4</v>
      </c>
      <c r="DA5" s="1028">
        <v>2732</v>
      </c>
      <c r="DB5" s="1028">
        <v>38307</v>
      </c>
      <c r="DC5" s="1028">
        <v>273</v>
      </c>
      <c r="DD5" s="1028">
        <v>30170</v>
      </c>
      <c r="DE5" s="1029">
        <v>19</v>
      </c>
      <c r="DF5" s="1276"/>
      <c r="DG5" s="1028"/>
      <c r="DH5" s="1028"/>
      <c r="DI5" s="1028"/>
      <c r="DJ5" s="1028"/>
      <c r="DK5" s="1029"/>
      <c r="DL5" s="1277">
        <v>42</v>
      </c>
      <c r="DM5" s="1225">
        <v>549</v>
      </c>
      <c r="DN5" s="1225">
        <v>51</v>
      </c>
      <c r="DO5" s="1225">
        <v>2396</v>
      </c>
      <c r="DP5" s="1225">
        <v>1057</v>
      </c>
      <c r="DQ5" s="1226">
        <v>19569</v>
      </c>
      <c r="DR5" s="1278">
        <v>39</v>
      </c>
      <c r="DS5" s="1227">
        <v>1594</v>
      </c>
      <c r="DT5" s="1227">
        <v>56</v>
      </c>
      <c r="DU5" s="1227">
        <v>36</v>
      </c>
      <c r="DV5" s="1227">
        <v>488</v>
      </c>
      <c r="DW5" s="1222"/>
      <c r="DX5" s="1279">
        <v>7</v>
      </c>
      <c r="DY5" s="1228">
        <v>274</v>
      </c>
      <c r="DZ5" s="1228">
        <v>76</v>
      </c>
      <c r="EA5" s="1228">
        <v>48</v>
      </c>
      <c r="EB5" s="1228">
        <v>2579</v>
      </c>
      <c r="EC5" s="1280">
        <v>5</v>
      </c>
      <c r="ED5" s="1030"/>
      <c r="EE5" s="1028">
        <v>935</v>
      </c>
      <c r="EF5" s="1028">
        <v>65</v>
      </c>
      <c r="EG5" s="1028">
        <v>7</v>
      </c>
      <c r="EH5" s="1028">
        <v>170</v>
      </c>
      <c r="EI5" s="1230">
        <v>25</v>
      </c>
      <c r="EJ5" s="1279">
        <v>1579</v>
      </c>
      <c r="EK5" s="1228">
        <v>722553</v>
      </c>
      <c r="EL5" s="1228">
        <v>2594</v>
      </c>
      <c r="EM5" s="1228">
        <v>111752</v>
      </c>
      <c r="EN5" s="1228"/>
      <c r="EO5" s="1229"/>
    </row>
    <row r="6" spans="1:145" ht="16.5">
      <c r="A6" s="826" t="s">
        <v>130</v>
      </c>
      <c r="B6" s="254"/>
      <c r="C6" s="255"/>
      <c r="D6" s="255"/>
      <c r="E6" s="255"/>
      <c r="F6" s="255"/>
      <c r="G6" s="256"/>
      <c r="H6" s="1013"/>
      <c r="I6" s="1014"/>
      <c r="J6" s="1014"/>
      <c r="K6" s="1014"/>
      <c r="L6" s="1014"/>
      <c r="M6" s="1015"/>
      <c r="N6" s="1017"/>
      <c r="O6" s="1014"/>
      <c r="P6" s="1014"/>
      <c r="Q6" s="1014"/>
      <c r="R6" s="1014"/>
      <c r="S6" s="1015"/>
      <c r="T6" s="1013"/>
      <c r="U6" s="1014"/>
      <c r="V6" s="1014"/>
      <c r="W6" s="1014"/>
      <c r="X6" s="1014"/>
      <c r="Y6" s="1015"/>
      <c r="Z6" s="1013"/>
      <c r="AA6" s="1014"/>
      <c r="AB6" s="1014"/>
      <c r="AC6" s="1014"/>
      <c r="AD6" s="1014"/>
      <c r="AE6" s="1015"/>
      <c r="AF6" s="1013"/>
      <c r="AG6" s="1014"/>
      <c r="AH6" s="1014"/>
      <c r="AI6" s="1014"/>
      <c r="AJ6" s="1014"/>
      <c r="AK6" s="1015"/>
      <c r="AL6" s="1013"/>
      <c r="AM6" s="1014"/>
      <c r="AN6" s="1014">
        <v>332</v>
      </c>
      <c r="AO6" s="1014"/>
      <c r="AP6" s="1014"/>
      <c r="AQ6" s="1015"/>
      <c r="AR6" s="1013"/>
      <c r="AS6" s="1014"/>
      <c r="AT6" s="1014"/>
      <c r="AU6" s="1014"/>
      <c r="AV6" s="1014"/>
      <c r="AW6" s="1015"/>
      <c r="AX6" s="1013"/>
      <c r="AY6" s="1014"/>
      <c r="AZ6" s="1014"/>
      <c r="BA6" s="1014"/>
      <c r="BB6" s="1014"/>
      <c r="BC6" s="1015"/>
      <c r="BD6" s="1013"/>
      <c r="BE6" s="1014"/>
      <c r="BF6" s="1014"/>
      <c r="BG6" s="1014"/>
      <c r="BH6" s="1014"/>
      <c r="BI6" s="1015"/>
      <c r="BJ6" s="1013"/>
      <c r="BK6" s="1014"/>
      <c r="BL6" s="1014"/>
      <c r="BM6" s="1014"/>
      <c r="BN6" s="1014"/>
      <c r="BO6" s="1015"/>
      <c r="BP6" s="1013"/>
      <c r="BQ6" s="1014"/>
      <c r="BR6" s="1014"/>
      <c r="BS6" s="1014"/>
      <c r="BT6" s="1014"/>
      <c r="BU6" s="1015"/>
      <c r="BV6" s="1135"/>
      <c r="BW6" s="1019"/>
      <c r="BX6" s="1019"/>
      <c r="BY6" s="1019"/>
      <c r="BZ6" s="1019"/>
      <c r="CA6" s="1020"/>
      <c r="CB6" s="1017"/>
      <c r="CC6" s="1014"/>
      <c r="CD6" s="1014"/>
      <c r="CE6" s="1014"/>
      <c r="CF6" s="1014"/>
      <c r="CG6" s="1015"/>
      <c r="CH6" s="1017"/>
      <c r="CI6" s="1014"/>
      <c r="CJ6" s="1014"/>
      <c r="CK6" s="1014"/>
      <c r="CL6" s="1014"/>
      <c r="CM6" s="1015"/>
      <c r="CN6" s="1017"/>
      <c r="CO6" s="1014"/>
      <c r="CP6" s="1014"/>
      <c r="CQ6" s="1014"/>
      <c r="CR6" s="1014"/>
      <c r="CS6" s="1015"/>
      <c r="CT6" s="1017"/>
      <c r="CU6" s="1014"/>
      <c r="CV6" s="1014"/>
      <c r="CW6" s="1014"/>
      <c r="CX6" s="1014"/>
      <c r="CY6" s="1015"/>
      <c r="CZ6" s="1017"/>
      <c r="DA6" s="1014"/>
      <c r="DB6" s="1014"/>
      <c r="DC6" s="1014"/>
      <c r="DD6" s="1014"/>
      <c r="DE6" s="1015"/>
      <c r="DF6" s="1136"/>
      <c r="DG6" s="1014"/>
      <c r="DH6" s="1014"/>
      <c r="DI6" s="1014"/>
      <c r="DJ6" s="1014"/>
      <c r="DK6" s="1015"/>
      <c r="DL6" s="297"/>
      <c r="DM6" s="298"/>
      <c r="DN6" s="298"/>
      <c r="DO6" s="298"/>
      <c r="DP6" s="298"/>
      <c r="DQ6" s="292"/>
      <c r="DR6" s="1137"/>
      <c r="DS6" s="1024"/>
      <c r="DT6" s="1024"/>
      <c r="DU6" s="1024"/>
      <c r="DV6" s="1024"/>
      <c r="DW6" s="1016"/>
      <c r="DX6" s="1138"/>
      <c r="DY6" s="1026"/>
      <c r="DZ6" s="1026"/>
      <c r="EA6" s="1026"/>
      <c r="EB6" s="1026"/>
      <c r="EC6" s="1139"/>
      <c r="ED6" s="1017"/>
      <c r="EE6" s="1014"/>
      <c r="EF6" s="1014"/>
      <c r="EG6" s="1014"/>
      <c r="EH6" s="1014"/>
      <c r="EI6" s="1140"/>
      <c r="EJ6" s="1138"/>
      <c r="EK6" s="1026"/>
      <c r="EL6" s="1026"/>
      <c r="EM6" s="1026"/>
      <c r="EN6" s="1026"/>
      <c r="EO6" s="1027"/>
    </row>
    <row r="7" spans="1:145" s="1214" customFormat="1" ht="18">
      <c r="A7" s="825" t="s">
        <v>131</v>
      </c>
      <c r="B7" s="269">
        <v>1371</v>
      </c>
      <c r="C7" s="271">
        <v>4915</v>
      </c>
      <c r="D7" s="271">
        <v>6129</v>
      </c>
      <c r="E7" s="271">
        <v>3335</v>
      </c>
      <c r="F7" s="271">
        <v>17514</v>
      </c>
      <c r="G7" s="272">
        <v>7532</v>
      </c>
      <c r="H7" s="273">
        <v>127</v>
      </c>
      <c r="I7" s="1028">
        <v>55</v>
      </c>
      <c r="J7" s="274">
        <v>1665</v>
      </c>
      <c r="K7" s="274"/>
      <c r="L7" s="1028">
        <v>1586</v>
      </c>
      <c r="M7" s="1029">
        <v>205</v>
      </c>
      <c r="N7" s="278">
        <v>185</v>
      </c>
      <c r="O7" s="274">
        <v>1556</v>
      </c>
      <c r="P7" s="274">
        <v>1818</v>
      </c>
      <c r="Q7" s="274">
        <v>1847</v>
      </c>
      <c r="R7" s="274">
        <v>3879</v>
      </c>
      <c r="S7" s="275">
        <f>555+967+876+38</f>
        <v>2436</v>
      </c>
      <c r="T7" s="273">
        <v>3112</v>
      </c>
      <c r="U7" s="274">
        <v>19964</v>
      </c>
      <c r="V7" s="274">
        <v>13502</v>
      </c>
      <c r="W7" s="274">
        <v>7787</v>
      </c>
      <c r="X7" s="274">
        <v>25878</v>
      </c>
      <c r="Y7" s="275">
        <v>6538</v>
      </c>
      <c r="Z7" s="273">
        <v>275</v>
      </c>
      <c r="AA7" s="274">
        <v>247</v>
      </c>
      <c r="AB7" s="274">
        <v>13757</v>
      </c>
      <c r="AC7" s="274">
        <v>25</v>
      </c>
      <c r="AD7" s="274">
        <v>2738</v>
      </c>
      <c r="AE7" s="275"/>
      <c r="AF7" s="273">
        <v>328</v>
      </c>
      <c r="AG7" s="274">
        <v>112</v>
      </c>
      <c r="AH7" s="274">
        <v>1582</v>
      </c>
      <c r="AI7" s="274">
        <v>400</v>
      </c>
      <c r="AJ7" s="274">
        <v>2417</v>
      </c>
      <c r="AK7" s="275">
        <v>4535</v>
      </c>
      <c r="AL7" s="273">
        <v>18669</v>
      </c>
      <c r="AM7" s="274">
        <v>36</v>
      </c>
      <c r="AN7" s="274">
        <v>1764</v>
      </c>
      <c r="AO7" s="274"/>
      <c r="AP7" s="274">
        <v>11210</v>
      </c>
      <c r="AQ7" s="275"/>
      <c r="AR7" s="273">
        <v>65</v>
      </c>
      <c r="AS7" s="274"/>
      <c r="AT7" s="274">
        <v>477</v>
      </c>
      <c r="AU7" s="274">
        <v>550</v>
      </c>
      <c r="AV7" s="274">
        <v>478</v>
      </c>
      <c r="AW7" s="275">
        <v>10</v>
      </c>
      <c r="AX7" s="273">
        <v>963</v>
      </c>
      <c r="AY7" s="274">
        <v>5115</v>
      </c>
      <c r="AZ7" s="274">
        <v>9629</v>
      </c>
      <c r="BA7" s="274">
        <v>1318</v>
      </c>
      <c r="BB7" s="274">
        <v>9312</v>
      </c>
      <c r="BC7" s="275">
        <v>811</v>
      </c>
      <c r="BD7" s="273">
        <v>255</v>
      </c>
      <c r="BE7" s="274">
        <v>761</v>
      </c>
      <c r="BF7" s="274">
        <v>1119</v>
      </c>
      <c r="BG7" s="274">
        <v>733</v>
      </c>
      <c r="BH7" s="274">
        <v>2880</v>
      </c>
      <c r="BI7" s="275">
        <v>1782</v>
      </c>
      <c r="BJ7" s="273">
        <v>60397</v>
      </c>
      <c r="BK7" s="274">
        <v>1148</v>
      </c>
      <c r="BL7" s="274">
        <v>50848</v>
      </c>
      <c r="BM7" s="1028">
        <v>1976</v>
      </c>
      <c r="BN7" s="274">
        <v>70989</v>
      </c>
      <c r="BO7" s="275">
        <v>43859</v>
      </c>
      <c r="BP7" s="273">
        <v>19122</v>
      </c>
      <c r="BQ7" s="274">
        <v>18702</v>
      </c>
      <c r="BR7" s="274">
        <v>17409</v>
      </c>
      <c r="BS7" s="274">
        <v>33254</v>
      </c>
      <c r="BT7" s="274">
        <v>77793</v>
      </c>
      <c r="BU7" s="275">
        <v>5513</v>
      </c>
      <c r="BV7" s="1212">
        <v>343</v>
      </c>
      <c r="BW7" s="1213">
        <v>1271</v>
      </c>
      <c r="BX7" s="1213">
        <v>6280</v>
      </c>
      <c r="BY7" s="1213"/>
      <c r="BZ7" s="1213">
        <v>2722</v>
      </c>
      <c r="CA7" s="1219">
        <v>1</v>
      </c>
      <c r="CB7" s="278">
        <v>3112</v>
      </c>
      <c r="CC7" s="274">
        <v>213</v>
      </c>
      <c r="CD7" s="274">
        <v>2788</v>
      </c>
      <c r="CE7" s="274">
        <v>9</v>
      </c>
      <c r="CF7" s="274">
        <v>8955</v>
      </c>
      <c r="CG7" s="275">
        <v>99</v>
      </c>
      <c r="CH7" s="278">
        <f>929+15474</f>
        <v>16403</v>
      </c>
      <c r="CI7" s="274">
        <v>7836</v>
      </c>
      <c r="CJ7" s="274">
        <v>3094</v>
      </c>
      <c r="CK7" s="274">
        <v>1261</v>
      </c>
      <c r="CL7" s="274">
        <v>21327</v>
      </c>
      <c r="CM7" s="275">
        <v>255</v>
      </c>
      <c r="CN7" s="278">
        <v>4185</v>
      </c>
      <c r="CO7" s="274">
        <v>18923</v>
      </c>
      <c r="CP7" s="274">
        <v>4653</v>
      </c>
      <c r="CQ7" s="274">
        <v>605</v>
      </c>
      <c r="CR7" s="274">
        <v>83625</v>
      </c>
      <c r="CS7" s="275">
        <v>77</v>
      </c>
      <c r="CT7" s="278">
        <v>1787</v>
      </c>
      <c r="CU7" s="274">
        <v>1594</v>
      </c>
      <c r="CV7" s="274">
        <v>7701</v>
      </c>
      <c r="CW7" s="274">
        <v>199</v>
      </c>
      <c r="CX7" s="274">
        <v>19600</v>
      </c>
      <c r="CY7" s="275">
        <v>31</v>
      </c>
      <c r="CZ7" s="278">
        <v>2016</v>
      </c>
      <c r="DA7" s="274">
        <v>9484</v>
      </c>
      <c r="DB7" s="274">
        <v>46370</v>
      </c>
      <c r="DC7" s="274">
        <v>1163</v>
      </c>
      <c r="DD7" s="274">
        <v>279765</v>
      </c>
      <c r="DE7" s="275">
        <v>179</v>
      </c>
      <c r="DF7" s="1281"/>
      <c r="DG7" s="274"/>
      <c r="DH7" s="274"/>
      <c r="DI7" s="274"/>
      <c r="DJ7" s="274"/>
      <c r="DK7" s="275"/>
      <c r="DL7" s="1282">
        <v>13233</v>
      </c>
      <c r="DM7" s="1225">
        <v>78810</v>
      </c>
      <c r="DN7" s="1232">
        <v>35658</v>
      </c>
      <c r="DO7" s="1232">
        <v>107616</v>
      </c>
      <c r="DP7" s="1232">
        <v>51773</v>
      </c>
      <c r="DQ7" s="1233">
        <v>21776</v>
      </c>
      <c r="DR7" s="1283">
        <v>863</v>
      </c>
      <c r="DS7" s="706">
        <v>1908</v>
      </c>
      <c r="DT7" s="706">
        <v>1291</v>
      </c>
      <c r="DU7" s="706">
        <v>145</v>
      </c>
      <c r="DV7" s="706">
        <v>3424</v>
      </c>
      <c r="DW7" s="1208"/>
      <c r="DX7" s="1209">
        <v>1660</v>
      </c>
      <c r="DY7" s="1210">
        <v>1098</v>
      </c>
      <c r="DZ7" s="1210">
        <v>1509</v>
      </c>
      <c r="EA7" s="1228">
        <v>808</v>
      </c>
      <c r="EB7" s="1228">
        <v>7007</v>
      </c>
      <c r="EC7" s="1284">
        <v>457</v>
      </c>
      <c r="ED7" s="278">
        <v>684</v>
      </c>
      <c r="EE7" s="274">
        <v>3573</v>
      </c>
      <c r="EF7" s="274">
        <v>61812</v>
      </c>
      <c r="EG7" s="274">
        <v>623</v>
      </c>
      <c r="EH7" s="274">
        <v>11531</v>
      </c>
      <c r="EI7" s="633">
        <v>42694</v>
      </c>
      <c r="EJ7" s="1209">
        <v>219911</v>
      </c>
      <c r="EK7" s="1026">
        <v>1589470</v>
      </c>
      <c r="EL7" s="1026">
        <v>2445088</v>
      </c>
      <c r="EM7" s="1026">
        <v>1587258</v>
      </c>
      <c r="EN7" s="1210">
        <v>1313765</v>
      </c>
      <c r="EO7" s="1211"/>
    </row>
    <row r="8" spans="1:145" s="1214" customFormat="1" ht="18">
      <c r="A8" s="825" t="s">
        <v>412</v>
      </c>
      <c r="B8" s="269">
        <v>1216</v>
      </c>
      <c r="C8" s="271">
        <v>5354</v>
      </c>
      <c r="D8" s="271">
        <v>6486</v>
      </c>
      <c r="E8" s="271">
        <v>3356</v>
      </c>
      <c r="F8" s="271">
        <v>17138</v>
      </c>
      <c r="G8" s="272">
        <v>9642</v>
      </c>
      <c r="H8" s="273">
        <v>97</v>
      </c>
      <c r="I8" s="274">
        <v>66</v>
      </c>
      <c r="J8" s="274">
        <v>2058</v>
      </c>
      <c r="K8" s="274"/>
      <c r="L8" s="274">
        <v>1958</v>
      </c>
      <c r="M8" s="275">
        <v>186</v>
      </c>
      <c r="N8" s="278">
        <v>158</v>
      </c>
      <c r="O8" s="274">
        <v>1330</v>
      </c>
      <c r="P8" s="274">
        <v>1808</v>
      </c>
      <c r="Q8" s="274">
        <v>1587</v>
      </c>
      <c r="R8" s="274">
        <v>3799</v>
      </c>
      <c r="S8" s="275">
        <f>534+967+876+35</f>
        <v>2412</v>
      </c>
      <c r="T8" s="273">
        <v>2911</v>
      </c>
      <c r="U8" s="274">
        <v>19964</v>
      </c>
      <c r="V8" s="274">
        <v>13502</v>
      </c>
      <c r="W8" s="274">
        <v>4363</v>
      </c>
      <c r="X8" s="274">
        <v>25016</v>
      </c>
      <c r="Y8" s="275">
        <v>6353</v>
      </c>
      <c r="Z8" s="273">
        <v>254</v>
      </c>
      <c r="AA8" s="274">
        <v>343</v>
      </c>
      <c r="AB8" s="274">
        <v>12924</v>
      </c>
      <c r="AC8" s="274">
        <v>45</v>
      </c>
      <c r="AD8" s="274">
        <v>2970</v>
      </c>
      <c r="AE8" s="275"/>
      <c r="AF8" s="273">
        <v>233</v>
      </c>
      <c r="AG8" s="274">
        <v>104</v>
      </c>
      <c r="AH8" s="274">
        <v>1494</v>
      </c>
      <c r="AI8" s="274">
        <v>356</v>
      </c>
      <c r="AJ8" s="274">
        <v>2495</v>
      </c>
      <c r="AK8" s="275">
        <v>4868</v>
      </c>
      <c r="AL8" s="273">
        <v>17186</v>
      </c>
      <c r="AM8" s="274">
        <v>22</v>
      </c>
      <c r="AN8" s="274">
        <v>1836</v>
      </c>
      <c r="AO8" s="274"/>
      <c r="AP8" s="274">
        <v>10521</v>
      </c>
      <c r="AQ8" s="275"/>
      <c r="AR8" s="273">
        <v>46</v>
      </c>
      <c r="AS8" s="274"/>
      <c r="AT8" s="274">
        <v>258</v>
      </c>
      <c r="AU8" s="274">
        <v>532</v>
      </c>
      <c r="AV8" s="274">
        <v>445</v>
      </c>
      <c r="AW8" s="275">
        <v>7</v>
      </c>
      <c r="AX8" s="273">
        <v>826</v>
      </c>
      <c r="AY8" s="274">
        <v>5121</v>
      </c>
      <c r="AZ8" s="274">
        <v>9874</v>
      </c>
      <c r="BA8" s="274">
        <v>859</v>
      </c>
      <c r="BB8" s="274">
        <v>9642</v>
      </c>
      <c r="BC8" s="275">
        <v>789</v>
      </c>
      <c r="BD8" s="273">
        <v>235</v>
      </c>
      <c r="BE8" s="274">
        <v>1565</v>
      </c>
      <c r="BF8" s="274">
        <v>1734</v>
      </c>
      <c r="BG8" s="274">
        <v>681</v>
      </c>
      <c r="BH8" s="274">
        <v>2925</v>
      </c>
      <c r="BI8" s="275">
        <v>1864</v>
      </c>
      <c r="BJ8" s="273">
        <v>58891</v>
      </c>
      <c r="BK8" s="274">
        <v>860</v>
      </c>
      <c r="BL8" s="274">
        <v>53456</v>
      </c>
      <c r="BM8" s="274">
        <v>2263</v>
      </c>
      <c r="BN8" s="274">
        <v>71306</v>
      </c>
      <c r="BO8" s="275">
        <v>44786</v>
      </c>
      <c r="BP8" s="273">
        <v>18357</v>
      </c>
      <c r="BQ8" s="274">
        <v>18643</v>
      </c>
      <c r="BR8" s="274">
        <v>16271</v>
      </c>
      <c r="BS8" s="274">
        <v>33392</v>
      </c>
      <c r="BT8" s="274">
        <v>76689</v>
      </c>
      <c r="BU8" s="275">
        <v>5062</v>
      </c>
      <c r="BV8" s="1212">
        <v>305</v>
      </c>
      <c r="BW8" s="1213">
        <v>2027</v>
      </c>
      <c r="BX8" s="1213">
        <v>6276</v>
      </c>
      <c r="BY8" s="1213"/>
      <c r="BZ8" s="1213">
        <v>2471</v>
      </c>
      <c r="CA8" s="1219">
        <v>1</v>
      </c>
      <c r="CB8" s="278">
        <v>2867</v>
      </c>
      <c r="CC8" s="274">
        <v>251</v>
      </c>
      <c r="CD8" s="274">
        <v>2606</v>
      </c>
      <c r="CE8" s="274">
        <v>9</v>
      </c>
      <c r="CF8" s="274">
        <v>12818</v>
      </c>
      <c r="CG8" s="275">
        <v>76</v>
      </c>
      <c r="CH8" s="278">
        <f>759+14378</f>
        <v>15137</v>
      </c>
      <c r="CI8" s="274">
        <v>8799</v>
      </c>
      <c r="CJ8" s="274">
        <v>3224</v>
      </c>
      <c r="CK8" s="274">
        <v>1278</v>
      </c>
      <c r="CL8" s="274">
        <v>20377</v>
      </c>
      <c r="CM8" s="275">
        <v>464</v>
      </c>
      <c r="CN8" s="278">
        <v>3838</v>
      </c>
      <c r="CO8" s="274">
        <v>18963</v>
      </c>
      <c r="CP8" s="274">
        <v>4653</v>
      </c>
      <c r="CQ8" s="274">
        <v>605</v>
      </c>
      <c r="CR8" s="274">
        <v>83625</v>
      </c>
      <c r="CS8" s="275">
        <v>57</v>
      </c>
      <c r="CT8" s="278">
        <v>1673</v>
      </c>
      <c r="CU8" s="274">
        <v>2512</v>
      </c>
      <c r="CV8" s="274">
        <v>7686</v>
      </c>
      <c r="CW8" s="274">
        <v>198</v>
      </c>
      <c r="CX8" s="274">
        <v>19173</v>
      </c>
      <c r="CY8" s="275">
        <v>18</v>
      </c>
      <c r="CZ8" s="278">
        <v>1827</v>
      </c>
      <c r="DA8" s="274">
        <v>10549</v>
      </c>
      <c r="DB8" s="274">
        <v>53541</v>
      </c>
      <c r="DC8" s="274">
        <v>1054</v>
      </c>
      <c r="DD8" s="274">
        <v>286454</v>
      </c>
      <c r="DE8" s="275">
        <v>83</v>
      </c>
      <c r="DF8" s="1281"/>
      <c r="DG8" s="274"/>
      <c r="DH8" s="274"/>
      <c r="DI8" s="274"/>
      <c r="DJ8" s="274"/>
      <c r="DK8" s="275"/>
      <c r="DL8" s="1282">
        <v>12344</v>
      </c>
      <c r="DM8" s="1232">
        <v>78752</v>
      </c>
      <c r="DN8" s="1232">
        <v>35689</v>
      </c>
      <c r="DO8" s="1232">
        <v>107208</v>
      </c>
      <c r="DP8" s="1232">
        <v>50141</v>
      </c>
      <c r="DQ8" s="1233">
        <v>32802</v>
      </c>
      <c r="DR8" s="1283">
        <v>528</v>
      </c>
      <c r="DS8" s="706">
        <v>2003</v>
      </c>
      <c r="DT8" s="706">
        <v>1243</v>
      </c>
      <c r="DU8" s="706">
        <v>171</v>
      </c>
      <c r="DV8" s="706">
        <v>3460</v>
      </c>
      <c r="DW8" s="1208"/>
      <c r="DX8" s="1209">
        <v>1530</v>
      </c>
      <c r="DY8" s="1210">
        <v>1123</v>
      </c>
      <c r="DZ8" s="1210">
        <v>1488</v>
      </c>
      <c r="EA8" s="1210">
        <v>787</v>
      </c>
      <c r="EB8" s="1210">
        <v>7733</v>
      </c>
      <c r="EC8" s="1284">
        <v>405</v>
      </c>
      <c r="ED8" s="278">
        <v>658</v>
      </c>
      <c r="EE8" s="274">
        <v>4210</v>
      </c>
      <c r="EF8" s="274">
        <v>61747</v>
      </c>
      <c r="EG8" s="274">
        <v>606</v>
      </c>
      <c r="EH8" s="274">
        <v>11569</v>
      </c>
      <c r="EI8" s="633">
        <v>42683</v>
      </c>
      <c r="EJ8" s="1209">
        <v>191511</v>
      </c>
      <c r="EK8" s="1210">
        <v>1399671</v>
      </c>
      <c r="EL8" s="1210">
        <v>2054538</v>
      </c>
      <c r="EM8" s="1210">
        <v>1570315</v>
      </c>
      <c r="EN8" s="1210">
        <v>1313764</v>
      </c>
      <c r="EO8" s="1211"/>
    </row>
    <row r="9" spans="1:145" s="1214" customFormat="1" ht="18">
      <c r="A9" s="825" t="s">
        <v>132</v>
      </c>
      <c r="B9" s="269">
        <v>7</v>
      </c>
      <c r="C9" s="271"/>
      <c r="D9" s="271"/>
      <c r="E9" s="271"/>
      <c r="F9" s="271"/>
      <c r="G9" s="272"/>
      <c r="H9" s="273">
        <v>2</v>
      </c>
      <c r="I9" s="274"/>
      <c r="J9" s="274"/>
      <c r="K9" s="274"/>
      <c r="L9" s="274"/>
      <c r="M9" s="275">
        <v>3</v>
      </c>
      <c r="N9" s="278"/>
      <c r="O9" s="274"/>
      <c r="P9" s="274"/>
      <c r="Q9" s="274"/>
      <c r="R9" s="274"/>
      <c r="S9" s="275"/>
      <c r="T9" s="273">
        <v>41</v>
      </c>
      <c r="U9" s="274"/>
      <c r="V9" s="274"/>
      <c r="W9" s="274"/>
      <c r="X9" s="274"/>
      <c r="Y9" s="275">
        <v>17</v>
      </c>
      <c r="Z9" s="273">
        <v>7</v>
      </c>
      <c r="AA9" s="274"/>
      <c r="AB9" s="274"/>
      <c r="AC9" s="274"/>
      <c r="AD9" s="274"/>
      <c r="AE9" s="275"/>
      <c r="AF9" s="273">
        <v>1</v>
      </c>
      <c r="AG9" s="274"/>
      <c r="AH9" s="274"/>
      <c r="AI9" s="274"/>
      <c r="AJ9" s="274"/>
      <c r="AK9" s="275"/>
      <c r="AL9" s="273">
        <v>56</v>
      </c>
      <c r="AM9" s="274"/>
      <c r="AN9" s="274"/>
      <c r="AO9" s="274"/>
      <c r="AP9" s="274"/>
      <c r="AQ9" s="275"/>
      <c r="AR9" s="273">
        <v>5</v>
      </c>
      <c r="AS9" s="274"/>
      <c r="AT9" s="274"/>
      <c r="AU9" s="274"/>
      <c r="AV9" s="274"/>
      <c r="AW9" s="275"/>
      <c r="AX9" s="273">
        <v>4</v>
      </c>
      <c r="AY9" s="274"/>
      <c r="AZ9" s="274"/>
      <c r="BA9" s="274"/>
      <c r="BB9" s="274"/>
      <c r="BC9" s="275">
        <v>5</v>
      </c>
      <c r="BD9" s="273">
        <v>11</v>
      </c>
      <c r="BE9" s="274"/>
      <c r="BF9" s="274"/>
      <c r="BG9" s="274"/>
      <c r="BH9" s="274"/>
      <c r="BI9" s="275"/>
      <c r="BJ9" s="273">
        <v>133</v>
      </c>
      <c r="BK9" s="274">
        <v>38</v>
      </c>
      <c r="BL9" s="274"/>
      <c r="BM9" s="274"/>
      <c r="BN9" s="274"/>
      <c r="BO9" s="275">
        <v>9</v>
      </c>
      <c r="BP9" s="273">
        <v>18</v>
      </c>
      <c r="BQ9" s="274"/>
      <c r="BR9" s="274"/>
      <c r="BS9" s="274"/>
      <c r="BT9" s="274"/>
      <c r="BU9" s="275">
        <v>8</v>
      </c>
      <c r="BV9" s="1212">
        <v>7</v>
      </c>
      <c r="BW9" s="1213"/>
      <c r="BX9" s="1213"/>
      <c r="BY9" s="1213"/>
      <c r="BZ9" s="1213">
        <v>229</v>
      </c>
      <c r="CA9" s="1219"/>
      <c r="CB9" s="278">
        <v>57</v>
      </c>
      <c r="CC9" s="274"/>
      <c r="CD9" s="274"/>
      <c r="CE9" s="274"/>
      <c r="CF9" s="274"/>
      <c r="CG9" s="275">
        <v>4</v>
      </c>
      <c r="CH9" s="1143">
        <v>52</v>
      </c>
      <c r="CI9" s="276"/>
      <c r="CJ9" s="276"/>
      <c r="CK9" s="276"/>
      <c r="CL9" s="276"/>
      <c r="CM9" s="277"/>
      <c r="CN9" s="278">
        <v>55</v>
      </c>
      <c r="CO9" s="274"/>
      <c r="CP9" s="274"/>
      <c r="CQ9" s="274"/>
      <c r="CR9" s="274"/>
      <c r="CS9" s="275">
        <v>1</v>
      </c>
      <c r="CT9" s="278">
        <v>54</v>
      </c>
      <c r="CU9" s="274"/>
      <c r="CV9" s="274"/>
      <c r="CW9" s="274"/>
      <c r="CX9" s="274"/>
      <c r="CY9" s="275">
        <v>4</v>
      </c>
      <c r="CZ9" s="278">
        <v>43</v>
      </c>
      <c r="DA9" s="274"/>
      <c r="DB9" s="274"/>
      <c r="DC9" s="274"/>
      <c r="DD9" s="274"/>
      <c r="DE9" s="275">
        <v>56</v>
      </c>
      <c r="DF9" s="1281"/>
      <c r="DG9" s="274"/>
      <c r="DH9" s="274"/>
      <c r="DI9" s="274"/>
      <c r="DJ9" s="274"/>
      <c r="DK9" s="275"/>
      <c r="DL9" s="1282">
        <v>276</v>
      </c>
      <c r="DM9" s="1232"/>
      <c r="DN9" s="1232"/>
      <c r="DO9" s="1232"/>
      <c r="DP9" s="1232"/>
      <c r="DQ9" s="1233"/>
      <c r="DR9" s="1283">
        <v>81</v>
      </c>
      <c r="DS9" s="706"/>
      <c r="DT9" s="706"/>
      <c r="DU9" s="706"/>
      <c r="DV9" s="706"/>
      <c r="DW9" s="1208"/>
      <c r="DX9" s="1209">
        <v>4</v>
      </c>
      <c r="DY9" s="1210"/>
      <c r="DZ9" s="1210"/>
      <c r="EA9" s="1210"/>
      <c r="EB9" s="1210"/>
      <c r="EC9" s="1284">
        <v>1</v>
      </c>
      <c r="ED9" s="278">
        <v>2</v>
      </c>
      <c r="EE9" s="274"/>
      <c r="EF9" s="274"/>
      <c r="EG9" s="274"/>
      <c r="EH9" s="274"/>
      <c r="EI9" s="633"/>
      <c r="EJ9" s="278">
        <v>1286</v>
      </c>
      <c r="EK9" s="274"/>
      <c r="EL9" s="274"/>
      <c r="EM9" s="274"/>
      <c r="EN9" s="274"/>
      <c r="EO9" s="275"/>
    </row>
    <row r="10" spans="1:145" ht="16.5">
      <c r="A10" s="826" t="s">
        <v>133</v>
      </c>
      <c r="B10" s="254">
        <v>7</v>
      </c>
      <c r="C10" s="255"/>
      <c r="D10" s="255"/>
      <c r="E10" s="255"/>
      <c r="F10" s="255"/>
      <c r="G10" s="256"/>
      <c r="H10" s="257">
        <v>2</v>
      </c>
      <c r="I10" s="258"/>
      <c r="J10" s="258"/>
      <c r="K10" s="258"/>
      <c r="L10" s="258"/>
      <c r="M10" s="259"/>
      <c r="N10" s="268"/>
      <c r="O10" s="258"/>
      <c r="P10" s="258"/>
      <c r="Q10" s="258"/>
      <c r="R10" s="258"/>
      <c r="S10" s="259"/>
      <c r="T10" s="257">
        <v>41</v>
      </c>
      <c r="U10" s="258"/>
      <c r="V10" s="258"/>
      <c r="W10" s="258"/>
      <c r="X10" s="258"/>
      <c r="Y10" s="259">
        <v>17</v>
      </c>
      <c r="Z10" s="257">
        <v>7</v>
      </c>
      <c r="AA10" s="258"/>
      <c r="AB10" s="258"/>
      <c r="AC10" s="258"/>
      <c r="AD10" s="258"/>
      <c r="AE10" s="259"/>
      <c r="AF10" s="257">
        <v>1</v>
      </c>
      <c r="AG10" s="258"/>
      <c r="AH10" s="258"/>
      <c r="AI10" s="258"/>
      <c r="AJ10" s="258"/>
      <c r="AK10" s="259"/>
      <c r="AL10" s="257">
        <v>56</v>
      </c>
      <c r="AM10" s="258"/>
      <c r="AN10" s="258"/>
      <c r="AO10" s="258"/>
      <c r="AP10" s="258"/>
      <c r="AQ10" s="259"/>
      <c r="AR10" s="257">
        <v>5</v>
      </c>
      <c r="AS10" s="258"/>
      <c r="AT10" s="258"/>
      <c r="AU10" s="258"/>
      <c r="AV10" s="258"/>
      <c r="AW10" s="259"/>
      <c r="AX10" s="257">
        <v>4</v>
      </c>
      <c r="AY10" s="258"/>
      <c r="AZ10" s="258"/>
      <c r="BA10" s="258"/>
      <c r="BB10" s="258"/>
      <c r="BC10" s="259">
        <v>5</v>
      </c>
      <c r="BD10" s="257">
        <v>11</v>
      </c>
      <c r="BE10" s="258"/>
      <c r="BF10" s="258"/>
      <c r="BG10" s="258"/>
      <c r="BH10" s="258"/>
      <c r="BI10" s="259"/>
      <c r="BJ10" s="257">
        <v>132</v>
      </c>
      <c r="BK10" s="258">
        <v>24</v>
      </c>
      <c r="BL10" s="258"/>
      <c r="BM10" s="258"/>
      <c r="BN10" s="258"/>
      <c r="BO10" s="259">
        <v>9</v>
      </c>
      <c r="BP10" s="257">
        <v>17</v>
      </c>
      <c r="BQ10" s="258"/>
      <c r="BR10" s="258"/>
      <c r="BS10" s="258"/>
      <c r="BT10" s="258"/>
      <c r="BU10" s="259">
        <v>8</v>
      </c>
      <c r="BV10" s="268">
        <v>7</v>
      </c>
      <c r="BW10" s="258"/>
      <c r="BX10" s="258"/>
      <c r="BY10" s="258"/>
      <c r="BZ10" s="258">
        <v>55</v>
      </c>
      <c r="CA10" s="259"/>
      <c r="CB10" s="268">
        <v>57</v>
      </c>
      <c r="CC10" s="258"/>
      <c r="CD10" s="258"/>
      <c r="CE10" s="258"/>
      <c r="CF10" s="258"/>
      <c r="CG10" s="259"/>
      <c r="CH10" s="268">
        <v>52</v>
      </c>
      <c r="CI10" s="258"/>
      <c r="CJ10" s="258"/>
      <c r="CK10" s="258"/>
      <c r="CL10" s="258"/>
      <c r="CM10" s="259"/>
      <c r="CN10" s="268">
        <v>54</v>
      </c>
      <c r="CO10" s="258"/>
      <c r="CP10" s="258"/>
      <c r="CQ10" s="258"/>
      <c r="CR10" s="258"/>
      <c r="CS10" s="259">
        <v>1</v>
      </c>
      <c r="CT10" s="268">
        <v>51</v>
      </c>
      <c r="CU10" s="258"/>
      <c r="CV10" s="258"/>
      <c r="CW10" s="258"/>
      <c r="CX10" s="258"/>
      <c r="CY10" s="259">
        <v>1</v>
      </c>
      <c r="CZ10" s="268"/>
      <c r="DA10" s="258"/>
      <c r="DB10" s="258"/>
      <c r="DC10" s="258"/>
      <c r="DD10" s="258"/>
      <c r="DE10" s="259">
        <v>43</v>
      </c>
      <c r="DF10" s="1141"/>
      <c r="DG10" s="258"/>
      <c r="DH10" s="258"/>
      <c r="DI10" s="258"/>
      <c r="DJ10" s="258"/>
      <c r="DK10" s="259"/>
      <c r="DL10" s="299">
        <v>263</v>
      </c>
      <c r="DM10" s="300"/>
      <c r="DN10" s="300"/>
      <c r="DO10" s="300"/>
      <c r="DP10" s="300"/>
      <c r="DQ10" s="295"/>
      <c r="DR10" s="1142">
        <v>81</v>
      </c>
      <c r="DS10" s="263"/>
      <c r="DT10" s="263"/>
      <c r="DU10" s="263"/>
      <c r="DV10" s="263"/>
      <c r="DW10" s="264"/>
      <c r="DX10" s="265">
        <v>4</v>
      </c>
      <c r="DY10" s="266"/>
      <c r="DZ10" s="266"/>
      <c r="EA10" s="266"/>
      <c r="EB10" s="266"/>
      <c r="EC10" s="895">
        <v>1</v>
      </c>
      <c r="ED10" s="268">
        <v>2</v>
      </c>
      <c r="EE10" s="258"/>
      <c r="EF10" s="258"/>
      <c r="EG10" s="258"/>
      <c r="EH10" s="258"/>
      <c r="EI10" s="632"/>
      <c r="EJ10" s="265">
        <v>1195</v>
      </c>
      <c r="EK10" s="266"/>
      <c r="EL10" s="266"/>
      <c r="EM10" s="266"/>
      <c r="EN10" s="258"/>
      <c r="EO10" s="259"/>
    </row>
    <row r="11" spans="1:145" ht="16.5">
      <c r="A11" s="826" t="s">
        <v>134</v>
      </c>
      <c r="B11" s="254"/>
      <c r="C11" s="255"/>
      <c r="D11" s="255"/>
      <c r="E11" s="255"/>
      <c r="F11" s="255"/>
      <c r="G11" s="256"/>
      <c r="H11" s="257"/>
      <c r="I11" s="258"/>
      <c r="J11" s="258"/>
      <c r="K11" s="258"/>
      <c r="L11" s="258"/>
      <c r="M11" s="259">
        <v>3</v>
      </c>
      <c r="N11" s="268"/>
      <c r="O11" s="258"/>
      <c r="P11" s="258"/>
      <c r="Q11" s="258"/>
      <c r="R11" s="258"/>
      <c r="S11" s="259"/>
      <c r="T11" s="257"/>
      <c r="U11" s="258"/>
      <c r="V11" s="258"/>
      <c r="W11" s="258"/>
      <c r="X11" s="258"/>
      <c r="Y11" s="259"/>
      <c r="Z11" s="257"/>
      <c r="AA11" s="258"/>
      <c r="AB11" s="258"/>
      <c r="AC11" s="258"/>
      <c r="AD11" s="258"/>
      <c r="AE11" s="259"/>
      <c r="AF11" s="257"/>
      <c r="AG11" s="258"/>
      <c r="AH11" s="258"/>
      <c r="AI11" s="258"/>
      <c r="AJ11" s="258"/>
      <c r="AK11" s="259"/>
      <c r="AL11" s="257"/>
      <c r="AM11" s="258"/>
      <c r="AN11" s="258"/>
      <c r="AO11" s="258"/>
      <c r="AP11" s="258"/>
      <c r="AQ11" s="259"/>
      <c r="AR11" s="257"/>
      <c r="AS11" s="258"/>
      <c r="AT11" s="258"/>
      <c r="AU11" s="258"/>
      <c r="AV11" s="258"/>
      <c r="AW11" s="259"/>
      <c r="AX11" s="257"/>
      <c r="AY11" s="258"/>
      <c r="AZ11" s="258"/>
      <c r="BA11" s="258"/>
      <c r="BB11" s="258"/>
      <c r="BC11" s="259"/>
      <c r="BD11" s="257"/>
      <c r="BE11" s="258"/>
      <c r="BF11" s="258"/>
      <c r="BG11" s="258"/>
      <c r="BH11" s="258"/>
      <c r="BI11" s="259"/>
      <c r="BJ11" s="257">
        <v>1</v>
      </c>
      <c r="BK11" s="258">
        <v>14</v>
      </c>
      <c r="BL11" s="258"/>
      <c r="BM11" s="258"/>
      <c r="BN11" s="258"/>
      <c r="BO11" s="259"/>
      <c r="BP11" s="257">
        <v>1</v>
      </c>
      <c r="BQ11" s="258"/>
      <c r="BR11" s="258"/>
      <c r="BS11" s="258"/>
      <c r="BT11" s="258"/>
      <c r="BU11" s="259"/>
      <c r="BV11" s="268"/>
      <c r="BW11" s="258"/>
      <c r="BX11" s="258"/>
      <c r="BY11" s="258"/>
      <c r="BZ11" s="258">
        <v>174</v>
      </c>
      <c r="CA11" s="259"/>
      <c r="CB11" s="268"/>
      <c r="CC11" s="258"/>
      <c r="CD11" s="258"/>
      <c r="CE11" s="258"/>
      <c r="CF11" s="258"/>
      <c r="CG11" s="259">
        <v>4</v>
      </c>
      <c r="CH11" s="268"/>
      <c r="CI11" s="258"/>
      <c r="CJ11" s="258"/>
      <c r="CK11" s="258"/>
      <c r="CL11" s="258"/>
      <c r="CM11" s="259"/>
      <c r="CN11" s="268">
        <v>1</v>
      </c>
      <c r="CO11" s="258"/>
      <c r="CP11" s="258"/>
      <c r="CQ11" s="258"/>
      <c r="CR11" s="258"/>
      <c r="CS11" s="259"/>
      <c r="CT11" s="268">
        <v>3</v>
      </c>
      <c r="CU11" s="258"/>
      <c r="CV11" s="258"/>
      <c r="CW11" s="258"/>
      <c r="CX11" s="258"/>
      <c r="CY11" s="259">
        <v>3</v>
      </c>
      <c r="CZ11" s="268"/>
      <c r="DA11" s="258"/>
      <c r="DB11" s="258"/>
      <c r="DC11" s="258"/>
      <c r="DD11" s="258"/>
      <c r="DE11" s="259">
        <v>13</v>
      </c>
      <c r="DF11" s="1141"/>
      <c r="DG11" s="258"/>
      <c r="DH11" s="258"/>
      <c r="DI11" s="258"/>
      <c r="DJ11" s="258"/>
      <c r="DK11" s="259"/>
      <c r="DL11" s="299">
        <v>13</v>
      </c>
      <c r="DM11" s="300"/>
      <c r="DN11" s="300"/>
      <c r="DO11" s="300"/>
      <c r="DP11" s="300"/>
      <c r="DQ11" s="295"/>
      <c r="DR11" s="1142"/>
      <c r="DS11" s="263"/>
      <c r="DT11" s="263"/>
      <c r="DU11" s="263"/>
      <c r="DV11" s="263"/>
      <c r="DW11" s="264"/>
      <c r="DX11" s="265"/>
      <c r="DY11" s="266"/>
      <c r="DZ11" s="266"/>
      <c r="EA11" s="266"/>
      <c r="EB11" s="266"/>
      <c r="EC11" s="895"/>
      <c r="ED11" s="268"/>
      <c r="EE11" s="258"/>
      <c r="EF11" s="258"/>
      <c r="EG11" s="258"/>
      <c r="EH11" s="258"/>
      <c r="EI11" s="632"/>
      <c r="EJ11" s="265">
        <v>91</v>
      </c>
      <c r="EK11" s="266"/>
      <c r="EL11" s="266"/>
      <c r="EM11" s="266"/>
      <c r="EN11" s="258"/>
      <c r="EO11" s="259"/>
    </row>
    <row r="12" spans="1:145" ht="16.5">
      <c r="A12" s="826" t="s">
        <v>135</v>
      </c>
      <c r="B12" s="254"/>
      <c r="C12" s="255"/>
      <c r="D12" s="255"/>
      <c r="E12" s="255"/>
      <c r="F12" s="255"/>
      <c r="G12" s="256"/>
      <c r="H12" s="257"/>
      <c r="I12" s="258"/>
      <c r="J12" s="258"/>
      <c r="K12" s="258"/>
      <c r="L12" s="258"/>
      <c r="M12" s="259"/>
      <c r="N12" s="268"/>
      <c r="O12" s="258"/>
      <c r="P12" s="258"/>
      <c r="Q12" s="258"/>
      <c r="R12" s="258"/>
      <c r="S12" s="259"/>
      <c r="T12" s="257"/>
      <c r="U12" s="258"/>
      <c r="V12" s="258"/>
      <c r="W12" s="258"/>
      <c r="X12" s="258"/>
      <c r="Y12" s="259"/>
      <c r="Z12" s="257"/>
      <c r="AA12" s="258"/>
      <c r="AB12" s="258"/>
      <c r="AC12" s="258"/>
      <c r="AD12" s="258"/>
      <c r="AE12" s="259"/>
      <c r="AF12" s="257"/>
      <c r="AG12" s="258"/>
      <c r="AH12" s="258"/>
      <c r="AI12" s="258"/>
      <c r="AJ12" s="258"/>
      <c r="AK12" s="259"/>
      <c r="AL12" s="257"/>
      <c r="AM12" s="258"/>
      <c r="AN12" s="258"/>
      <c r="AO12" s="258"/>
      <c r="AP12" s="258"/>
      <c r="AQ12" s="259"/>
      <c r="AR12" s="257"/>
      <c r="AS12" s="258"/>
      <c r="AT12" s="258"/>
      <c r="AU12" s="258"/>
      <c r="AV12" s="258"/>
      <c r="AW12" s="259">
        <v>1</v>
      </c>
      <c r="AX12" s="257"/>
      <c r="AY12" s="258"/>
      <c r="AZ12" s="258"/>
      <c r="BA12" s="258"/>
      <c r="BB12" s="258"/>
      <c r="BC12" s="259"/>
      <c r="BD12" s="257"/>
      <c r="BE12" s="258"/>
      <c r="BF12" s="258"/>
      <c r="BG12" s="258"/>
      <c r="BH12" s="258"/>
      <c r="BI12" s="259"/>
      <c r="BJ12" s="257">
        <v>1</v>
      </c>
      <c r="BK12" s="258">
        <v>182</v>
      </c>
      <c r="BL12" s="258"/>
      <c r="BM12" s="258"/>
      <c r="BN12" s="258"/>
      <c r="BO12" s="259">
        <v>23</v>
      </c>
      <c r="BP12" s="257">
        <v>3</v>
      </c>
      <c r="BQ12" s="258"/>
      <c r="BR12" s="258"/>
      <c r="BS12" s="258"/>
      <c r="BT12" s="258"/>
      <c r="BU12" s="259">
        <v>400</v>
      </c>
      <c r="BV12" s="268"/>
      <c r="BW12" s="258"/>
      <c r="BX12" s="258"/>
      <c r="BY12" s="258"/>
      <c r="BZ12" s="258"/>
      <c r="CA12" s="259"/>
      <c r="CB12" s="268"/>
      <c r="CC12" s="258"/>
      <c r="CD12" s="258"/>
      <c r="CE12" s="258"/>
      <c r="CF12" s="258"/>
      <c r="CG12" s="259">
        <v>4</v>
      </c>
      <c r="CH12" s="268"/>
      <c r="CI12" s="258"/>
      <c r="CJ12" s="258"/>
      <c r="CK12" s="258"/>
      <c r="CL12" s="258"/>
      <c r="CM12" s="259"/>
      <c r="CN12" s="268">
        <v>1</v>
      </c>
      <c r="CO12" s="258"/>
      <c r="CP12" s="258"/>
      <c r="CQ12" s="258"/>
      <c r="CR12" s="258"/>
      <c r="CS12" s="259">
        <v>11</v>
      </c>
      <c r="CT12" s="268"/>
      <c r="CU12" s="258"/>
      <c r="CV12" s="258"/>
      <c r="CW12" s="258"/>
      <c r="CX12" s="258"/>
      <c r="CY12" s="259">
        <v>9</v>
      </c>
      <c r="CZ12" s="268"/>
      <c r="DA12" s="258"/>
      <c r="DB12" s="258"/>
      <c r="DC12" s="258"/>
      <c r="DD12" s="258"/>
      <c r="DE12" s="259"/>
      <c r="DF12" s="1141"/>
      <c r="DG12" s="258"/>
      <c r="DH12" s="258"/>
      <c r="DI12" s="258"/>
      <c r="DJ12" s="258"/>
      <c r="DK12" s="259"/>
      <c r="DL12" s="299"/>
      <c r="DM12" s="300"/>
      <c r="DN12" s="300"/>
      <c r="DO12" s="300"/>
      <c r="DP12" s="300">
        <v>1</v>
      </c>
      <c r="DQ12" s="295">
        <v>4</v>
      </c>
      <c r="DR12" s="1142"/>
      <c r="DS12" s="263"/>
      <c r="DT12" s="263"/>
      <c r="DU12" s="263"/>
      <c r="DV12" s="263"/>
      <c r="DW12" s="264"/>
      <c r="DX12" s="265">
        <v>73</v>
      </c>
      <c r="DY12" s="266"/>
      <c r="DZ12" s="266"/>
      <c r="EA12" s="266"/>
      <c r="EB12" s="266"/>
      <c r="EC12" s="895">
        <v>31</v>
      </c>
      <c r="ED12" s="268"/>
      <c r="EE12" s="258"/>
      <c r="EF12" s="258"/>
      <c r="EG12" s="258"/>
      <c r="EH12" s="258"/>
      <c r="EI12" s="632"/>
      <c r="EJ12" s="265"/>
      <c r="EK12" s="266"/>
      <c r="EL12" s="266"/>
      <c r="EM12" s="266"/>
      <c r="EN12" s="258"/>
      <c r="EO12" s="259"/>
    </row>
    <row r="13" spans="1:145" ht="16.5">
      <c r="A13" s="826" t="s">
        <v>136</v>
      </c>
      <c r="B13" s="254"/>
      <c r="C13" s="255"/>
      <c r="D13" s="255"/>
      <c r="E13" s="255"/>
      <c r="F13" s="255"/>
      <c r="G13" s="256"/>
      <c r="H13" s="257"/>
      <c r="I13" s="258"/>
      <c r="J13" s="258"/>
      <c r="K13" s="258"/>
      <c r="L13" s="258"/>
      <c r="M13" s="259"/>
      <c r="N13" s="268"/>
      <c r="O13" s="258"/>
      <c r="P13" s="258"/>
      <c r="Q13" s="258"/>
      <c r="R13" s="258"/>
      <c r="S13" s="259"/>
      <c r="T13" s="257"/>
      <c r="U13" s="258"/>
      <c r="V13" s="258"/>
      <c r="W13" s="258"/>
      <c r="X13" s="258"/>
      <c r="Y13" s="259"/>
      <c r="Z13" s="257"/>
      <c r="AA13" s="258"/>
      <c r="AB13" s="258"/>
      <c r="AC13" s="258"/>
      <c r="AD13" s="258"/>
      <c r="AE13" s="259"/>
      <c r="AF13" s="257"/>
      <c r="AG13" s="258"/>
      <c r="AH13" s="258"/>
      <c r="AI13" s="258"/>
      <c r="AJ13" s="258"/>
      <c r="AK13" s="259"/>
      <c r="AL13" s="257"/>
      <c r="AM13" s="258"/>
      <c r="AN13" s="258"/>
      <c r="AO13" s="258"/>
      <c r="AP13" s="258"/>
      <c r="AQ13" s="259"/>
      <c r="AR13" s="257"/>
      <c r="AS13" s="258"/>
      <c r="AT13" s="258"/>
      <c r="AU13" s="258"/>
      <c r="AV13" s="258"/>
      <c r="AW13" s="259"/>
      <c r="AX13" s="257"/>
      <c r="AY13" s="258"/>
      <c r="AZ13" s="258"/>
      <c r="BA13" s="258"/>
      <c r="BB13" s="258"/>
      <c r="BC13" s="259"/>
      <c r="BD13" s="257"/>
      <c r="BE13" s="258"/>
      <c r="BF13" s="258"/>
      <c r="BG13" s="258"/>
      <c r="BH13" s="258"/>
      <c r="BI13" s="259"/>
      <c r="BJ13" s="257"/>
      <c r="BK13" s="258"/>
      <c r="BL13" s="258"/>
      <c r="BM13" s="258"/>
      <c r="BN13" s="258"/>
      <c r="BO13" s="259"/>
      <c r="BP13" s="257"/>
      <c r="BQ13" s="258"/>
      <c r="BR13" s="258"/>
      <c r="BS13" s="258"/>
      <c r="BT13" s="258"/>
      <c r="BU13" s="259"/>
      <c r="BV13" s="634"/>
      <c r="BW13" s="260"/>
      <c r="BX13" s="260"/>
      <c r="BY13" s="260"/>
      <c r="BZ13" s="260"/>
      <c r="CA13" s="1033"/>
      <c r="CB13" s="268"/>
      <c r="CC13" s="258"/>
      <c r="CD13" s="258"/>
      <c r="CE13" s="258"/>
      <c r="CF13" s="258"/>
      <c r="CG13" s="259"/>
      <c r="CH13" s="1274"/>
      <c r="CI13" s="705"/>
      <c r="CJ13" s="705"/>
      <c r="CK13" s="705"/>
      <c r="CL13" s="705"/>
      <c r="CM13" s="1215"/>
      <c r="CN13" s="268"/>
      <c r="CO13" s="258"/>
      <c r="CP13" s="258"/>
      <c r="CQ13" s="258"/>
      <c r="CR13" s="258"/>
      <c r="CS13" s="259"/>
      <c r="CT13" s="268"/>
      <c r="CU13" s="258"/>
      <c r="CV13" s="258"/>
      <c r="CW13" s="258"/>
      <c r="CX13" s="258"/>
      <c r="CY13" s="259"/>
      <c r="CZ13" s="268"/>
      <c r="DA13" s="258"/>
      <c r="DB13" s="258"/>
      <c r="DC13" s="258"/>
      <c r="DD13" s="258"/>
      <c r="DE13" s="259"/>
      <c r="DF13" s="1141"/>
      <c r="DG13" s="258"/>
      <c r="DH13" s="258"/>
      <c r="DI13" s="258"/>
      <c r="DJ13" s="258"/>
      <c r="DK13" s="259"/>
      <c r="DL13" s="299"/>
      <c r="DM13" s="300"/>
      <c r="DN13" s="300"/>
      <c r="DO13" s="300"/>
      <c r="DP13" s="300">
        <v>35</v>
      </c>
      <c r="DQ13" s="295"/>
      <c r="DR13" s="1142"/>
      <c r="DS13" s="263"/>
      <c r="DT13" s="263"/>
      <c r="DU13" s="263"/>
      <c r="DV13" s="263"/>
      <c r="DW13" s="264"/>
      <c r="DX13" s="265"/>
      <c r="DY13" s="266"/>
      <c r="DZ13" s="266"/>
      <c r="EA13" s="266"/>
      <c r="EB13" s="266"/>
      <c r="EC13" s="895"/>
      <c r="ED13" s="268"/>
      <c r="EE13" s="258"/>
      <c r="EF13" s="258"/>
      <c r="EG13" s="258"/>
      <c r="EH13" s="258"/>
      <c r="EI13" s="632"/>
      <c r="EJ13" s="268">
        <v>379</v>
      </c>
      <c r="EK13" s="258">
        <v>145498</v>
      </c>
      <c r="EL13" s="258">
        <v>4256</v>
      </c>
      <c r="EM13" s="258"/>
      <c r="EN13" s="258"/>
      <c r="EO13" s="259"/>
    </row>
    <row r="14" spans="1:145" ht="16.5">
      <c r="A14" s="826" t="s">
        <v>137</v>
      </c>
      <c r="B14" s="254"/>
      <c r="C14" s="255"/>
      <c r="D14" s="255"/>
      <c r="E14" s="255"/>
      <c r="F14" s="255"/>
      <c r="G14" s="256"/>
      <c r="H14" s="257"/>
      <c r="I14" s="258"/>
      <c r="J14" s="258"/>
      <c r="K14" s="258" t="s">
        <v>451</v>
      </c>
      <c r="L14" s="258"/>
      <c r="M14" s="259"/>
      <c r="N14" s="268"/>
      <c r="O14" s="258">
        <v>403</v>
      </c>
      <c r="P14" s="258"/>
      <c r="Q14" s="258"/>
      <c r="R14" s="258"/>
      <c r="S14" s="259"/>
      <c r="T14" s="257"/>
      <c r="U14" s="258"/>
      <c r="V14" s="258"/>
      <c r="W14" s="258"/>
      <c r="X14" s="258"/>
      <c r="Y14" s="259"/>
      <c r="Z14" s="257"/>
      <c r="AA14" s="258"/>
      <c r="AB14" s="258"/>
      <c r="AC14" s="258"/>
      <c r="AD14" s="258"/>
      <c r="AE14" s="259"/>
      <c r="AF14" s="257"/>
      <c r="AG14" s="258"/>
      <c r="AH14" s="258"/>
      <c r="AI14" s="258"/>
      <c r="AJ14" s="258"/>
      <c r="AK14" s="259"/>
      <c r="AL14" s="257"/>
      <c r="AM14" s="258"/>
      <c r="AN14" s="258"/>
      <c r="AO14" s="258"/>
      <c r="AP14" s="258"/>
      <c r="AQ14" s="259"/>
      <c r="AR14" s="257"/>
      <c r="AS14" s="258"/>
      <c r="AT14" s="258"/>
      <c r="AU14" s="258"/>
      <c r="AV14" s="258"/>
      <c r="AW14" s="259"/>
      <c r="AX14" s="257"/>
      <c r="AY14" s="258">
        <v>10</v>
      </c>
      <c r="AZ14" s="258">
        <v>11</v>
      </c>
      <c r="BA14" s="258">
        <v>54</v>
      </c>
      <c r="BB14" s="258">
        <v>2</v>
      </c>
      <c r="BC14" s="259"/>
      <c r="BD14" s="257"/>
      <c r="BE14" s="258"/>
      <c r="BF14" s="258"/>
      <c r="BG14" s="258"/>
      <c r="BH14" s="258"/>
      <c r="BI14" s="259"/>
      <c r="BJ14" s="257"/>
      <c r="BK14" s="258"/>
      <c r="BL14" s="258"/>
      <c r="BM14" s="258"/>
      <c r="BN14" s="258"/>
      <c r="BO14" s="259"/>
      <c r="BP14" s="257"/>
      <c r="BQ14" s="258"/>
      <c r="BR14" s="258"/>
      <c r="BS14" s="258"/>
      <c r="BT14" s="258"/>
      <c r="BU14" s="259"/>
      <c r="BV14" s="634"/>
      <c r="BW14" s="260"/>
      <c r="BX14" s="260"/>
      <c r="BY14" s="260"/>
      <c r="BZ14" s="260"/>
      <c r="CA14" s="1033"/>
      <c r="CB14" s="268"/>
      <c r="CC14" s="258"/>
      <c r="CD14" s="258"/>
      <c r="CE14" s="258"/>
      <c r="CF14" s="258"/>
      <c r="CG14" s="259"/>
      <c r="CH14" s="1274"/>
      <c r="CI14" s="705"/>
      <c r="CJ14" s="705"/>
      <c r="CK14" s="705"/>
      <c r="CL14" s="705"/>
      <c r="CM14" s="1215"/>
      <c r="CN14" s="268"/>
      <c r="CO14" s="258"/>
      <c r="CP14" s="258"/>
      <c r="CQ14" s="258"/>
      <c r="CR14" s="258"/>
      <c r="CS14" s="259"/>
      <c r="CT14" s="268"/>
      <c r="CU14" s="258"/>
      <c r="CV14" s="258"/>
      <c r="CW14" s="258"/>
      <c r="CX14" s="258"/>
      <c r="CY14" s="259"/>
      <c r="CZ14" s="268"/>
      <c r="DA14" s="258"/>
      <c r="DB14" s="258"/>
      <c r="DC14" s="258"/>
      <c r="DD14" s="258"/>
      <c r="DE14" s="259"/>
      <c r="DF14" s="1141"/>
      <c r="DG14" s="258"/>
      <c r="DH14" s="258"/>
      <c r="DI14" s="258"/>
      <c r="DJ14" s="258"/>
      <c r="DK14" s="259"/>
      <c r="DL14" s="299"/>
      <c r="DM14" s="300"/>
      <c r="DN14" s="300"/>
      <c r="DO14" s="300"/>
      <c r="DP14" s="300"/>
      <c r="DQ14" s="295"/>
      <c r="DR14" s="1142"/>
      <c r="DS14" s="263">
        <v>91</v>
      </c>
      <c r="DT14" s="263">
        <v>4</v>
      </c>
      <c r="DU14" s="263"/>
      <c r="DV14" s="263">
        <v>74</v>
      </c>
      <c r="DW14" s="264"/>
      <c r="DX14" s="265"/>
      <c r="DY14" s="266"/>
      <c r="DZ14" s="266"/>
      <c r="EA14" s="266"/>
      <c r="EB14" s="266"/>
      <c r="EC14" s="895"/>
      <c r="ED14" s="268"/>
      <c r="EE14" s="258"/>
      <c r="EF14" s="258"/>
      <c r="EG14" s="258"/>
      <c r="EH14" s="258"/>
      <c r="EI14" s="632"/>
      <c r="EJ14" s="268"/>
      <c r="EK14" s="258"/>
      <c r="EL14" s="258"/>
      <c r="EM14" s="258"/>
      <c r="EN14" s="258"/>
      <c r="EO14" s="259"/>
    </row>
    <row r="15" spans="1:145" s="1214" customFormat="1" ht="18">
      <c r="A15" s="825" t="s">
        <v>138</v>
      </c>
      <c r="B15" s="269">
        <v>172</v>
      </c>
      <c r="C15" s="271">
        <v>767</v>
      </c>
      <c r="D15" s="271">
        <v>215</v>
      </c>
      <c r="E15" s="271">
        <v>356</v>
      </c>
      <c r="F15" s="271">
        <v>483</v>
      </c>
      <c r="G15" s="272">
        <v>2092</v>
      </c>
      <c r="H15" s="273">
        <v>28</v>
      </c>
      <c r="I15" s="274">
        <v>3</v>
      </c>
      <c r="J15" s="274">
        <v>156</v>
      </c>
      <c r="K15" s="274"/>
      <c r="L15" s="274">
        <v>136</v>
      </c>
      <c r="M15" s="275">
        <v>27</v>
      </c>
      <c r="N15" s="278">
        <v>28</v>
      </c>
      <c r="O15" s="274">
        <v>1668</v>
      </c>
      <c r="P15" s="274">
        <v>16</v>
      </c>
      <c r="Q15" s="274">
        <v>2239</v>
      </c>
      <c r="R15" s="274">
        <v>80</v>
      </c>
      <c r="S15" s="275">
        <f>21+54</f>
        <v>75</v>
      </c>
      <c r="T15" s="273">
        <v>163</v>
      </c>
      <c r="U15" s="274">
        <v>336</v>
      </c>
      <c r="V15" s="274"/>
      <c r="W15" s="274">
        <v>4364</v>
      </c>
      <c r="X15" s="274">
        <v>1277</v>
      </c>
      <c r="Y15" s="275">
        <v>140</v>
      </c>
      <c r="Z15" s="273">
        <v>21</v>
      </c>
      <c r="AA15" s="274">
        <v>396</v>
      </c>
      <c r="AB15" s="274">
        <v>1118</v>
      </c>
      <c r="AC15" s="274">
        <v>236</v>
      </c>
      <c r="AD15" s="274">
        <v>159</v>
      </c>
      <c r="AE15" s="275"/>
      <c r="AF15" s="273">
        <v>95</v>
      </c>
      <c r="AG15" s="274">
        <v>198</v>
      </c>
      <c r="AH15" s="274">
        <v>88</v>
      </c>
      <c r="AI15" s="274">
        <v>218</v>
      </c>
      <c r="AJ15" s="274">
        <v>162</v>
      </c>
      <c r="AK15" s="275">
        <v>375</v>
      </c>
      <c r="AL15" s="273">
        <v>1689</v>
      </c>
      <c r="AM15" s="274">
        <v>23</v>
      </c>
      <c r="AN15" s="274">
        <v>260</v>
      </c>
      <c r="AO15" s="274"/>
      <c r="AP15" s="274">
        <v>1234</v>
      </c>
      <c r="AQ15" s="275"/>
      <c r="AR15" s="273">
        <v>14</v>
      </c>
      <c r="AS15" s="274"/>
      <c r="AT15" s="274">
        <v>470</v>
      </c>
      <c r="AU15" s="274">
        <v>215</v>
      </c>
      <c r="AV15" s="274">
        <v>282</v>
      </c>
      <c r="AW15" s="275">
        <v>2</v>
      </c>
      <c r="AX15" s="273">
        <v>133</v>
      </c>
      <c r="AY15" s="274">
        <v>6</v>
      </c>
      <c r="AZ15" s="274">
        <v>44</v>
      </c>
      <c r="BA15" s="274">
        <v>655</v>
      </c>
      <c r="BB15" s="274">
        <v>475</v>
      </c>
      <c r="BC15" s="275">
        <v>17</v>
      </c>
      <c r="BD15" s="273">
        <v>17</v>
      </c>
      <c r="BE15" s="274">
        <v>701</v>
      </c>
      <c r="BF15" s="274">
        <v>188</v>
      </c>
      <c r="BG15" s="274">
        <v>143</v>
      </c>
      <c r="BH15" s="274">
        <v>154</v>
      </c>
      <c r="BI15" s="275">
        <v>133</v>
      </c>
      <c r="BJ15" s="273">
        <v>1931</v>
      </c>
      <c r="BK15" s="274">
        <v>190</v>
      </c>
      <c r="BL15" s="274">
        <v>38002</v>
      </c>
      <c r="BM15" s="274">
        <v>2923</v>
      </c>
      <c r="BN15" s="274">
        <v>6176</v>
      </c>
      <c r="BO15" s="275">
        <v>73590</v>
      </c>
      <c r="BP15" s="273">
        <v>1955</v>
      </c>
      <c r="BQ15" s="274">
        <v>7672</v>
      </c>
      <c r="BR15" s="274">
        <v>1586</v>
      </c>
      <c r="BS15" s="274">
        <v>11382</v>
      </c>
      <c r="BT15" s="274">
        <v>5773</v>
      </c>
      <c r="BU15" s="275">
        <v>364</v>
      </c>
      <c r="BV15" s="1212">
        <v>39</v>
      </c>
      <c r="BW15" s="1213">
        <v>6</v>
      </c>
      <c r="BX15" s="1213">
        <v>10</v>
      </c>
      <c r="BY15" s="1213"/>
      <c r="BZ15" s="1213">
        <v>136</v>
      </c>
      <c r="CA15" s="1219"/>
      <c r="CB15" s="278">
        <v>198</v>
      </c>
      <c r="CC15" s="274">
        <v>148</v>
      </c>
      <c r="CD15" s="274">
        <v>684</v>
      </c>
      <c r="CE15" s="274"/>
      <c r="CF15" s="274">
        <v>12697</v>
      </c>
      <c r="CG15" s="275">
        <v>25</v>
      </c>
      <c r="CH15" s="278">
        <f>168+1234</f>
        <v>1402</v>
      </c>
      <c r="CI15" s="274">
        <v>383</v>
      </c>
      <c r="CJ15" s="274">
        <v>288</v>
      </c>
      <c r="CK15" s="274">
        <v>17</v>
      </c>
      <c r="CL15" s="274">
        <v>1799</v>
      </c>
      <c r="CM15" s="275">
        <v>65</v>
      </c>
      <c r="CN15" s="278">
        <v>293</v>
      </c>
      <c r="CO15" s="274">
        <v>116</v>
      </c>
      <c r="CP15" s="274"/>
      <c r="CQ15" s="274"/>
      <c r="CR15" s="274"/>
      <c r="CS15" s="275">
        <v>8</v>
      </c>
      <c r="CT15" s="278">
        <v>60</v>
      </c>
      <c r="CU15" s="274">
        <v>1213</v>
      </c>
      <c r="CV15" s="274">
        <v>5727</v>
      </c>
      <c r="CW15" s="274">
        <v>33</v>
      </c>
      <c r="CX15" s="274">
        <v>4310</v>
      </c>
      <c r="CY15" s="275">
        <v>4</v>
      </c>
      <c r="CZ15" s="278">
        <v>150</v>
      </c>
      <c r="DA15" s="274">
        <v>1667</v>
      </c>
      <c r="DB15" s="274">
        <v>31136</v>
      </c>
      <c r="DC15" s="274">
        <v>382</v>
      </c>
      <c r="DD15" s="274">
        <v>41481</v>
      </c>
      <c r="DE15" s="275">
        <v>59</v>
      </c>
      <c r="DF15" s="1281"/>
      <c r="DG15" s="274"/>
      <c r="DH15" s="274"/>
      <c r="DI15" s="274"/>
      <c r="DJ15" s="274"/>
      <c r="DK15" s="275"/>
      <c r="DL15" s="1282">
        <v>655</v>
      </c>
      <c r="DM15" s="1232">
        <v>607</v>
      </c>
      <c r="DN15" s="1232">
        <v>20</v>
      </c>
      <c r="DO15" s="1232">
        <v>2804</v>
      </c>
      <c r="DP15" s="1232">
        <v>2653</v>
      </c>
      <c r="DQ15" s="1233">
        <v>8539</v>
      </c>
      <c r="DR15" s="1283">
        <v>279</v>
      </c>
      <c r="DS15" s="706">
        <v>1408</v>
      </c>
      <c r="DT15" s="706">
        <v>10</v>
      </c>
      <c r="DU15" s="706">
        <v>10</v>
      </c>
      <c r="DV15" s="706">
        <v>378</v>
      </c>
      <c r="DW15" s="1208"/>
      <c r="DX15" s="1209">
        <v>60</v>
      </c>
      <c r="DY15" s="1210">
        <v>249</v>
      </c>
      <c r="DZ15" s="1210">
        <v>97</v>
      </c>
      <c r="EA15" s="1210">
        <v>69</v>
      </c>
      <c r="EB15" s="1428">
        <v>1853</v>
      </c>
      <c r="EC15" s="1284">
        <v>25</v>
      </c>
      <c r="ED15" s="278">
        <v>24</v>
      </c>
      <c r="EE15" s="274">
        <v>298</v>
      </c>
      <c r="EF15" s="274">
        <v>130</v>
      </c>
      <c r="EG15" s="274">
        <v>21</v>
      </c>
      <c r="EH15" s="274">
        <v>132</v>
      </c>
      <c r="EI15" s="633">
        <v>36</v>
      </c>
      <c r="EJ15" s="278">
        <v>28314</v>
      </c>
      <c r="EK15" s="274">
        <v>796854</v>
      </c>
      <c r="EL15" s="274">
        <v>388888</v>
      </c>
      <c r="EM15" s="274">
        <v>128695</v>
      </c>
      <c r="EN15" s="274">
        <v>1</v>
      </c>
      <c r="EO15" s="275"/>
    </row>
    <row r="16" spans="1:145" ht="16.5">
      <c r="A16" s="826" t="s">
        <v>139</v>
      </c>
      <c r="B16" s="254">
        <v>169</v>
      </c>
      <c r="C16" s="255">
        <v>210</v>
      </c>
      <c r="D16" s="255">
        <v>209</v>
      </c>
      <c r="E16" s="255">
        <v>168</v>
      </c>
      <c r="F16" s="255">
        <v>483</v>
      </c>
      <c r="G16" s="256">
        <v>468</v>
      </c>
      <c r="H16" s="257">
        <v>28</v>
      </c>
      <c r="I16" s="258">
        <v>2</v>
      </c>
      <c r="J16" s="258">
        <v>142</v>
      </c>
      <c r="K16" s="258"/>
      <c r="L16" s="258">
        <v>90</v>
      </c>
      <c r="M16" s="259">
        <v>26</v>
      </c>
      <c r="N16" s="268">
        <v>28</v>
      </c>
      <c r="O16" s="258">
        <v>824</v>
      </c>
      <c r="P16" s="258">
        <v>12</v>
      </c>
      <c r="Q16" s="258">
        <v>433</v>
      </c>
      <c r="R16" s="258">
        <v>80</v>
      </c>
      <c r="S16" s="259">
        <f>21+7</f>
        <v>28</v>
      </c>
      <c r="T16" s="257">
        <v>163</v>
      </c>
      <c r="U16" s="258">
        <v>213</v>
      </c>
      <c r="V16" s="258"/>
      <c r="W16" s="258">
        <v>2007</v>
      </c>
      <c r="X16" s="258">
        <v>1277</v>
      </c>
      <c r="Y16" s="259">
        <v>140</v>
      </c>
      <c r="Z16" s="257">
        <v>19</v>
      </c>
      <c r="AA16" s="258">
        <v>138</v>
      </c>
      <c r="AB16" s="258">
        <v>1118</v>
      </c>
      <c r="AC16" s="258">
        <v>22</v>
      </c>
      <c r="AD16" s="258">
        <v>159</v>
      </c>
      <c r="AE16" s="259"/>
      <c r="AF16" s="257">
        <v>94</v>
      </c>
      <c r="AG16" s="258">
        <v>47</v>
      </c>
      <c r="AH16" s="258">
        <v>88</v>
      </c>
      <c r="AI16" s="258">
        <v>85</v>
      </c>
      <c r="AJ16" s="258">
        <v>160</v>
      </c>
      <c r="AK16" s="259">
        <v>267</v>
      </c>
      <c r="AL16" s="257">
        <v>1531</v>
      </c>
      <c r="AM16" s="258">
        <v>23</v>
      </c>
      <c r="AN16" s="258">
        <v>260</v>
      </c>
      <c r="AO16" s="258"/>
      <c r="AP16" s="258">
        <v>1148</v>
      </c>
      <c r="AQ16" s="259"/>
      <c r="AR16" s="257">
        <v>14</v>
      </c>
      <c r="AS16" s="258"/>
      <c r="AT16" s="258">
        <v>310</v>
      </c>
      <c r="AU16" s="258">
        <v>96</v>
      </c>
      <c r="AV16" s="258">
        <v>55</v>
      </c>
      <c r="AW16" s="259">
        <v>2</v>
      </c>
      <c r="AX16" s="257">
        <v>133</v>
      </c>
      <c r="AY16" s="258">
        <v>6</v>
      </c>
      <c r="AZ16" s="258">
        <v>15</v>
      </c>
      <c r="BA16" s="258">
        <v>655</v>
      </c>
      <c r="BB16" s="258">
        <v>474</v>
      </c>
      <c r="BC16" s="259">
        <v>17</v>
      </c>
      <c r="BD16" s="257">
        <v>13</v>
      </c>
      <c r="BE16" s="258">
        <v>173</v>
      </c>
      <c r="BF16" s="258">
        <v>127</v>
      </c>
      <c r="BG16" s="258">
        <v>82</v>
      </c>
      <c r="BH16" s="258">
        <v>152</v>
      </c>
      <c r="BI16" s="259">
        <v>127</v>
      </c>
      <c r="BJ16" s="257">
        <v>1747</v>
      </c>
      <c r="BK16" s="258">
        <v>188</v>
      </c>
      <c r="BL16" s="258">
        <v>12503</v>
      </c>
      <c r="BM16" s="258">
        <v>273</v>
      </c>
      <c r="BN16" s="258">
        <v>2021</v>
      </c>
      <c r="BO16" s="259">
        <v>16363</v>
      </c>
      <c r="BP16" s="257">
        <v>1836</v>
      </c>
      <c r="BQ16" s="258">
        <v>3622</v>
      </c>
      <c r="BR16" s="258">
        <v>1417</v>
      </c>
      <c r="BS16" s="258">
        <v>933</v>
      </c>
      <c r="BT16" s="258">
        <v>5028</v>
      </c>
      <c r="BU16" s="259">
        <v>360</v>
      </c>
      <c r="BV16" s="634">
        <v>37</v>
      </c>
      <c r="BW16" s="260">
        <v>6</v>
      </c>
      <c r="BX16" s="260">
        <v>9</v>
      </c>
      <c r="BY16" s="260"/>
      <c r="BZ16" s="260">
        <v>136</v>
      </c>
      <c r="CA16" s="1033"/>
      <c r="CB16" s="268">
        <v>192</v>
      </c>
      <c r="CC16" s="258">
        <v>28</v>
      </c>
      <c r="CD16" s="258">
        <v>313</v>
      </c>
      <c r="CE16" s="258"/>
      <c r="CF16" s="258">
        <v>1023</v>
      </c>
      <c r="CG16" s="259">
        <v>25</v>
      </c>
      <c r="CH16" s="268">
        <v>1402</v>
      </c>
      <c r="CI16" s="258">
        <v>275</v>
      </c>
      <c r="CJ16" s="258">
        <v>99</v>
      </c>
      <c r="CK16" s="258">
        <v>4</v>
      </c>
      <c r="CL16" s="258">
        <v>1749</v>
      </c>
      <c r="CM16" s="259">
        <v>58</v>
      </c>
      <c r="CN16" s="268">
        <v>293</v>
      </c>
      <c r="CO16" s="258">
        <v>53</v>
      </c>
      <c r="CP16" s="258"/>
      <c r="CQ16" s="258"/>
      <c r="CR16" s="258"/>
      <c r="CS16" s="259">
        <v>8</v>
      </c>
      <c r="CT16" s="268">
        <v>60</v>
      </c>
      <c r="CU16" s="258">
        <v>614</v>
      </c>
      <c r="CV16" s="258">
        <v>5447</v>
      </c>
      <c r="CW16" s="258">
        <v>26</v>
      </c>
      <c r="CX16" s="258">
        <v>3575</v>
      </c>
      <c r="CY16" s="259">
        <v>4</v>
      </c>
      <c r="CZ16" s="268">
        <v>150</v>
      </c>
      <c r="DA16" s="258">
        <v>501</v>
      </c>
      <c r="DB16" s="258">
        <v>25261</v>
      </c>
      <c r="DC16" s="258">
        <v>223</v>
      </c>
      <c r="DD16" s="258">
        <v>10336</v>
      </c>
      <c r="DE16" s="259">
        <v>59</v>
      </c>
      <c r="DF16" s="1141"/>
      <c r="DG16" s="258"/>
      <c r="DH16" s="258"/>
      <c r="DI16" s="258"/>
      <c r="DJ16" s="258"/>
      <c r="DK16" s="259"/>
      <c r="DL16" s="299">
        <v>643</v>
      </c>
      <c r="DM16" s="300">
        <v>344</v>
      </c>
      <c r="DN16" s="300">
        <v>20</v>
      </c>
      <c r="DO16" s="300">
        <v>1586</v>
      </c>
      <c r="DP16" s="300">
        <v>2613</v>
      </c>
      <c r="DQ16" s="295">
        <v>5231</v>
      </c>
      <c r="DR16" s="1142">
        <v>246</v>
      </c>
      <c r="DS16" s="263">
        <v>993</v>
      </c>
      <c r="DT16" s="263">
        <v>76</v>
      </c>
      <c r="DU16" s="263">
        <v>9</v>
      </c>
      <c r="DV16" s="263">
        <v>128</v>
      </c>
      <c r="DW16" s="264"/>
      <c r="DX16" s="265">
        <v>59</v>
      </c>
      <c r="DY16" s="266">
        <v>164</v>
      </c>
      <c r="DZ16" s="266">
        <v>86</v>
      </c>
      <c r="EA16" s="266">
        <v>66</v>
      </c>
      <c r="EB16" s="280">
        <v>1259</v>
      </c>
      <c r="EC16" s="895">
        <v>21</v>
      </c>
      <c r="ED16" s="268">
        <v>24</v>
      </c>
      <c r="EE16" s="258">
        <v>178</v>
      </c>
      <c r="EF16" s="258">
        <v>130</v>
      </c>
      <c r="EG16" s="258">
        <v>21</v>
      </c>
      <c r="EH16" s="258">
        <v>132</v>
      </c>
      <c r="EI16" s="632">
        <v>36</v>
      </c>
      <c r="EJ16" s="268">
        <v>27397</v>
      </c>
      <c r="EK16" s="258">
        <v>423320</v>
      </c>
      <c r="EL16" s="258">
        <v>382032</v>
      </c>
      <c r="EM16" s="258">
        <v>98832</v>
      </c>
      <c r="EN16" s="258">
        <v>1</v>
      </c>
      <c r="EO16" s="259"/>
    </row>
    <row r="17" spans="1:145" ht="16.5">
      <c r="A17" s="826" t="s">
        <v>140</v>
      </c>
      <c r="B17" s="254">
        <v>1</v>
      </c>
      <c r="C17" s="255">
        <v>352</v>
      </c>
      <c r="D17" s="255">
        <v>6</v>
      </c>
      <c r="E17" s="255">
        <v>71</v>
      </c>
      <c r="F17" s="255"/>
      <c r="G17" s="256">
        <v>1057</v>
      </c>
      <c r="H17" s="257"/>
      <c r="I17" s="258"/>
      <c r="J17" s="258">
        <v>9</v>
      </c>
      <c r="K17" s="258"/>
      <c r="L17" s="258">
        <v>16</v>
      </c>
      <c r="M17" s="259">
        <v>1</v>
      </c>
      <c r="N17" s="268"/>
      <c r="O17" s="258">
        <v>832</v>
      </c>
      <c r="P17" s="258">
        <v>4</v>
      </c>
      <c r="Q17" s="258">
        <v>313</v>
      </c>
      <c r="R17" s="258"/>
      <c r="S17" s="259">
        <v>6</v>
      </c>
      <c r="T17" s="257"/>
      <c r="U17" s="258">
        <v>123</v>
      </c>
      <c r="V17" s="258"/>
      <c r="W17" s="258">
        <v>2357</v>
      </c>
      <c r="X17" s="258"/>
      <c r="Y17" s="259"/>
      <c r="Z17" s="257"/>
      <c r="AA17" s="258">
        <v>165</v>
      </c>
      <c r="AB17" s="258"/>
      <c r="AC17" s="258">
        <v>59</v>
      </c>
      <c r="AD17" s="258"/>
      <c r="AE17" s="259"/>
      <c r="AF17" s="257"/>
      <c r="AG17" s="258">
        <v>105</v>
      </c>
      <c r="AH17" s="258"/>
      <c r="AI17" s="258">
        <v>52</v>
      </c>
      <c r="AJ17" s="258"/>
      <c r="AK17" s="259">
        <v>1</v>
      </c>
      <c r="AL17" s="257">
        <v>125</v>
      </c>
      <c r="AM17" s="258"/>
      <c r="AN17" s="258"/>
      <c r="AO17" s="258"/>
      <c r="AP17" s="258">
        <v>82</v>
      </c>
      <c r="AQ17" s="259"/>
      <c r="AR17" s="257"/>
      <c r="AS17" s="258"/>
      <c r="AT17" s="258">
        <v>77</v>
      </c>
      <c r="AU17" s="258">
        <v>49</v>
      </c>
      <c r="AV17" s="258">
        <v>48</v>
      </c>
      <c r="AW17" s="259"/>
      <c r="AX17" s="257"/>
      <c r="AY17" s="258"/>
      <c r="AZ17" s="258">
        <v>29</v>
      </c>
      <c r="BA17" s="258"/>
      <c r="BB17" s="258">
        <v>1</v>
      </c>
      <c r="BC17" s="259"/>
      <c r="BD17" s="257">
        <v>3</v>
      </c>
      <c r="BE17" s="258">
        <v>418</v>
      </c>
      <c r="BF17" s="258">
        <v>10</v>
      </c>
      <c r="BG17" s="258">
        <v>9</v>
      </c>
      <c r="BH17" s="258">
        <v>2</v>
      </c>
      <c r="BI17" s="259">
        <v>6</v>
      </c>
      <c r="BJ17" s="257">
        <v>113</v>
      </c>
      <c r="BK17" s="258">
        <v>2</v>
      </c>
      <c r="BL17" s="258">
        <v>6139</v>
      </c>
      <c r="BM17" s="258">
        <v>757</v>
      </c>
      <c r="BN17" s="258">
        <v>1456</v>
      </c>
      <c r="BO17" s="259">
        <v>14600</v>
      </c>
      <c r="BP17" s="257">
        <v>84</v>
      </c>
      <c r="BQ17" s="258">
        <v>1397</v>
      </c>
      <c r="BR17" s="258">
        <v>13</v>
      </c>
      <c r="BS17" s="258">
        <v>650</v>
      </c>
      <c r="BT17" s="258">
        <v>141</v>
      </c>
      <c r="BU17" s="259">
        <v>2</v>
      </c>
      <c r="BV17" s="634">
        <v>2</v>
      </c>
      <c r="BW17" s="260"/>
      <c r="BX17" s="260"/>
      <c r="BY17" s="260"/>
      <c r="BZ17" s="260"/>
      <c r="CA17" s="1033"/>
      <c r="CB17" s="268">
        <v>2</v>
      </c>
      <c r="CC17" s="258">
        <v>67</v>
      </c>
      <c r="CD17" s="258">
        <v>279</v>
      </c>
      <c r="CE17" s="258"/>
      <c r="CF17" s="258">
        <v>2646</v>
      </c>
      <c r="CG17" s="259"/>
      <c r="CH17" s="268"/>
      <c r="CI17" s="258">
        <v>103</v>
      </c>
      <c r="CJ17" s="258">
        <v>182</v>
      </c>
      <c r="CK17" s="258">
        <v>11</v>
      </c>
      <c r="CL17" s="258">
        <v>2</v>
      </c>
      <c r="CM17" s="259">
        <v>7</v>
      </c>
      <c r="CN17" s="268"/>
      <c r="CO17" s="258">
        <v>36</v>
      </c>
      <c r="CP17" s="258"/>
      <c r="CQ17" s="258"/>
      <c r="CR17" s="258"/>
      <c r="CS17" s="259"/>
      <c r="CT17" s="268"/>
      <c r="CU17" s="258">
        <v>585</v>
      </c>
      <c r="CV17" s="258">
        <v>277</v>
      </c>
      <c r="CW17" s="258"/>
      <c r="CX17" s="258">
        <v>290</v>
      </c>
      <c r="CY17" s="259"/>
      <c r="CZ17" s="268"/>
      <c r="DA17" s="258">
        <v>87</v>
      </c>
      <c r="DB17" s="258">
        <v>659</v>
      </c>
      <c r="DC17" s="258">
        <v>159</v>
      </c>
      <c r="DD17" s="258">
        <v>7499</v>
      </c>
      <c r="DE17" s="259"/>
      <c r="DF17" s="1141"/>
      <c r="DG17" s="258"/>
      <c r="DH17" s="258"/>
      <c r="DI17" s="258"/>
      <c r="DJ17" s="258"/>
      <c r="DK17" s="259"/>
      <c r="DL17" s="299">
        <v>8</v>
      </c>
      <c r="DM17" s="300">
        <v>263</v>
      </c>
      <c r="DN17" s="300"/>
      <c r="DO17" s="300">
        <v>1218</v>
      </c>
      <c r="DP17" s="300">
        <v>40</v>
      </c>
      <c r="DQ17" s="295">
        <v>3308</v>
      </c>
      <c r="DR17" s="1142">
        <v>6</v>
      </c>
      <c r="DS17" s="263">
        <v>415</v>
      </c>
      <c r="DT17" s="263">
        <v>24</v>
      </c>
      <c r="DU17" s="263">
        <v>1</v>
      </c>
      <c r="DV17" s="263">
        <v>18</v>
      </c>
      <c r="DW17" s="264"/>
      <c r="DX17" s="265"/>
      <c r="DY17" s="266">
        <v>85</v>
      </c>
      <c r="DZ17" s="266">
        <v>11</v>
      </c>
      <c r="EA17" s="266">
        <v>2</v>
      </c>
      <c r="EB17" s="280">
        <v>593</v>
      </c>
      <c r="EC17" s="895">
        <v>1</v>
      </c>
      <c r="ED17" s="268"/>
      <c r="EE17" s="258">
        <v>120</v>
      </c>
      <c r="EF17" s="258"/>
      <c r="EG17" s="258"/>
      <c r="EH17" s="258"/>
      <c r="EI17" s="632"/>
      <c r="EJ17" s="268">
        <v>849</v>
      </c>
      <c r="EK17" s="258">
        <v>373509</v>
      </c>
      <c r="EL17" s="258">
        <v>6856</v>
      </c>
      <c r="EM17" s="258">
        <v>29863</v>
      </c>
      <c r="EN17" s="258"/>
      <c r="EO17" s="259"/>
    </row>
    <row r="18" spans="1:145" ht="16.5">
      <c r="A18" s="826" t="s">
        <v>141</v>
      </c>
      <c r="B18" s="254">
        <v>2</v>
      </c>
      <c r="C18" s="255">
        <v>72</v>
      </c>
      <c r="D18" s="255"/>
      <c r="E18" s="255">
        <v>59</v>
      </c>
      <c r="F18" s="255"/>
      <c r="G18" s="256">
        <v>271</v>
      </c>
      <c r="H18" s="257"/>
      <c r="I18" s="258"/>
      <c r="J18" s="258">
        <v>2</v>
      </c>
      <c r="K18" s="258"/>
      <c r="L18" s="258">
        <v>15</v>
      </c>
      <c r="M18" s="259"/>
      <c r="N18" s="268"/>
      <c r="O18" s="258">
        <v>12</v>
      </c>
      <c r="P18" s="258"/>
      <c r="Q18" s="258">
        <v>473</v>
      </c>
      <c r="R18" s="258"/>
      <c r="S18" s="259">
        <v>9</v>
      </c>
      <c r="T18" s="257"/>
      <c r="U18" s="258"/>
      <c r="V18" s="258"/>
      <c r="W18" s="258"/>
      <c r="X18" s="258"/>
      <c r="Y18" s="259"/>
      <c r="Z18" s="257">
        <v>1</v>
      </c>
      <c r="AA18" s="258">
        <v>90</v>
      </c>
      <c r="AB18" s="258"/>
      <c r="AC18" s="258">
        <v>80</v>
      </c>
      <c r="AD18" s="258"/>
      <c r="AE18" s="259"/>
      <c r="AF18" s="257">
        <v>1</v>
      </c>
      <c r="AG18" s="258">
        <v>23</v>
      </c>
      <c r="AH18" s="258"/>
      <c r="AI18" s="258">
        <v>41</v>
      </c>
      <c r="AJ18" s="258"/>
      <c r="AK18" s="259"/>
      <c r="AL18" s="257">
        <v>24</v>
      </c>
      <c r="AM18" s="258"/>
      <c r="AN18" s="258"/>
      <c r="AO18" s="258"/>
      <c r="AP18" s="258">
        <v>4</v>
      </c>
      <c r="AQ18" s="259"/>
      <c r="AR18" s="257"/>
      <c r="AS18" s="258"/>
      <c r="AT18" s="258">
        <v>39</v>
      </c>
      <c r="AU18" s="258">
        <v>40</v>
      </c>
      <c r="AV18" s="258">
        <v>81</v>
      </c>
      <c r="AW18" s="259"/>
      <c r="AX18" s="257"/>
      <c r="AY18" s="258"/>
      <c r="AZ18" s="258"/>
      <c r="BA18" s="258"/>
      <c r="BB18" s="258"/>
      <c r="BC18" s="259"/>
      <c r="BD18" s="257">
        <v>1</v>
      </c>
      <c r="BE18" s="258">
        <v>110</v>
      </c>
      <c r="BF18" s="258">
        <v>51</v>
      </c>
      <c r="BG18" s="258">
        <v>18</v>
      </c>
      <c r="BH18" s="258"/>
      <c r="BI18" s="259"/>
      <c r="BJ18" s="257">
        <v>49</v>
      </c>
      <c r="BK18" s="258"/>
      <c r="BL18" s="258">
        <v>5204</v>
      </c>
      <c r="BM18" s="258">
        <v>858</v>
      </c>
      <c r="BN18" s="258">
        <v>872</v>
      </c>
      <c r="BO18" s="259">
        <v>5435</v>
      </c>
      <c r="BP18" s="257">
        <v>22</v>
      </c>
      <c r="BQ18" s="258">
        <v>991</v>
      </c>
      <c r="BR18" s="258">
        <v>106</v>
      </c>
      <c r="BS18" s="258">
        <v>875</v>
      </c>
      <c r="BT18" s="258">
        <v>152</v>
      </c>
      <c r="BU18" s="259">
        <v>2</v>
      </c>
      <c r="BV18" s="634"/>
      <c r="BW18" s="260"/>
      <c r="BX18" s="260">
        <v>1</v>
      </c>
      <c r="BY18" s="260"/>
      <c r="BZ18" s="260"/>
      <c r="CA18" s="1033"/>
      <c r="CB18" s="268">
        <v>2</v>
      </c>
      <c r="CC18" s="258">
        <v>12</v>
      </c>
      <c r="CD18" s="258">
        <v>90</v>
      </c>
      <c r="CE18" s="258"/>
      <c r="CF18" s="258">
        <v>841</v>
      </c>
      <c r="CG18" s="259"/>
      <c r="CH18" s="1274"/>
      <c r="CI18" s="705">
        <v>5</v>
      </c>
      <c r="CJ18" s="705">
        <v>7</v>
      </c>
      <c r="CK18" s="705">
        <v>2</v>
      </c>
      <c r="CL18" s="705">
        <v>18</v>
      </c>
      <c r="CM18" s="1215"/>
      <c r="CN18" s="268"/>
      <c r="CO18" s="258">
        <v>17</v>
      </c>
      <c r="CP18" s="258"/>
      <c r="CQ18" s="258"/>
      <c r="CR18" s="258"/>
      <c r="CS18" s="259"/>
      <c r="CT18" s="268"/>
      <c r="CU18" s="258">
        <v>7</v>
      </c>
      <c r="CV18" s="258">
        <v>3</v>
      </c>
      <c r="CW18" s="258">
        <v>7</v>
      </c>
      <c r="CX18" s="258">
        <v>95</v>
      </c>
      <c r="CY18" s="259"/>
      <c r="CZ18" s="268"/>
      <c r="DA18" s="258">
        <v>170</v>
      </c>
      <c r="DB18" s="258">
        <v>751</v>
      </c>
      <c r="DC18" s="258"/>
      <c r="DD18" s="258">
        <v>2623</v>
      </c>
      <c r="DE18" s="259"/>
      <c r="DF18" s="1141"/>
      <c r="DG18" s="258"/>
      <c r="DH18" s="258"/>
      <c r="DI18" s="258"/>
      <c r="DJ18" s="258"/>
      <c r="DK18" s="259"/>
      <c r="DL18" s="299"/>
      <c r="DM18" s="300"/>
      <c r="DN18" s="300"/>
      <c r="DO18" s="300"/>
      <c r="DP18" s="300"/>
      <c r="DQ18" s="295"/>
      <c r="DR18" s="1142">
        <v>5</v>
      </c>
      <c r="DS18" s="263"/>
      <c r="DT18" s="263"/>
      <c r="DU18" s="263"/>
      <c r="DV18" s="263">
        <v>1</v>
      </c>
      <c r="DW18" s="264"/>
      <c r="DX18" s="265">
        <v>1</v>
      </c>
      <c r="DY18" s="266"/>
      <c r="DZ18" s="266"/>
      <c r="EA18" s="266">
        <v>1</v>
      </c>
      <c r="EB18" s="280">
        <v>1</v>
      </c>
      <c r="EC18" s="895"/>
      <c r="ED18" s="268"/>
      <c r="EE18" s="258"/>
      <c r="EF18" s="258"/>
      <c r="EG18" s="258"/>
      <c r="EH18" s="258"/>
      <c r="EI18" s="632"/>
      <c r="EJ18" s="268">
        <v>35</v>
      </c>
      <c r="EK18" s="258">
        <v>18</v>
      </c>
      <c r="EL18" s="258"/>
      <c r="EM18" s="258"/>
      <c r="EN18" s="258"/>
      <c r="EO18" s="259"/>
    </row>
    <row r="19" spans="1:145" ht="17.25" thickBot="1">
      <c r="A19" s="827" t="s">
        <v>142</v>
      </c>
      <c r="B19" s="1530"/>
      <c r="C19" s="653"/>
      <c r="D19" s="653"/>
      <c r="E19" s="653">
        <v>58</v>
      </c>
      <c r="F19" s="653"/>
      <c r="G19" s="654">
        <v>296</v>
      </c>
      <c r="H19" s="1144"/>
      <c r="I19" s="1145">
        <v>1</v>
      </c>
      <c r="J19" s="1145">
        <v>3</v>
      </c>
      <c r="K19" s="1145"/>
      <c r="L19" s="1145">
        <v>15</v>
      </c>
      <c r="M19" s="1146"/>
      <c r="N19" s="1147"/>
      <c r="O19" s="1145"/>
      <c r="P19" s="1145"/>
      <c r="Q19" s="1145">
        <v>1020</v>
      </c>
      <c r="R19" s="1145"/>
      <c r="S19" s="1146">
        <v>32</v>
      </c>
      <c r="T19" s="1144"/>
      <c r="U19" s="1145"/>
      <c r="V19" s="1145"/>
      <c r="W19" s="1145"/>
      <c r="X19" s="1145"/>
      <c r="Y19" s="1146"/>
      <c r="Z19" s="1144">
        <v>1</v>
      </c>
      <c r="AA19" s="1145">
        <v>3</v>
      </c>
      <c r="AB19" s="1145"/>
      <c r="AC19" s="1145">
        <v>75</v>
      </c>
      <c r="AD19" s="1145"/>
      <c r="AE19" s="1146"/>
      <c r="AF19" s="1144"/>
      <c r="AG19" s="1145">
        <v>23</v>
      </c>
      <c r="AH19" s="1145"/>
      <c r="AI19" s="1145">
        <v>40</v>
      </c>
      <c r="AJ19" s="1145">
        <v>2</v>
      </c>
      <c r="AK19" s="1146">
        <v>107</v>
      </c>
      <c r="AL19" s="1144">
        <v>9</v>
      </c>
      <c r="AM19" s="1145"/>
      <c r="AN19" s="1145"/>
      <c r="AO19" s="1145"/>
      <c r="AP19" s="1145"/>
      <c r="AQ19" s="1146"/>
      <c r="AR19" s="1144"/>
      <c r="AS19" s="1145"/>
      <c r="AT19" s="1145">
        <v>44</v>
      </c>
      <c r="AU19" s="1145">
        <v>30</v>
      </c>
      <c r="AV19" s="1145">
        <v>98</v>
      </c>
      <c r="AW19" s="1146"/>
      <c r="AX19" s="1144"/>
      <c r="AY19" s="1145"/>
      <c r="AZ19" s="1145"/>
      <c r="BA19" s="1145"/>
      <c r="BB19" s="1145"/>
      <c r="BC19" s="1146"/>
      <c r="BD19" s="1144"/>
      <c r="BE19" s="1145"/>
      <c r="BF19" s="1145"/>
      <c r="BG19" s="1145">
        <v>34</v>
      </c>
      <c r="BH19" s="1145"/>
      <c r="BI19" s="1146"/>
      <c r="BJ19" s="1144">
        <v>22</v>
      </c>
      <c r="BK19" s="1145"/>
      <c r="BL19" s="1145">
        <v>14156</v>
      </c>
      <c r="BM19" s="1145">
        <v>1035</v>
      </c>
      <c r="BN19" s="1145">
        <v>1827</v>
      </c>
      <c r="BO19" s="1146">
        <v>37192</v>
      </c>
      <c r="BP19" s="1144">
        <v>13</v>
      </c>
      <c r="BQ19" s="1145">
        <v>1662</v>
      </c>
      <c r="BR19" s="1145">
        <v>50</v>
      </c>
      <c r="BS19" s="1145">
        <v>8924</v>
      </c>
      <c r="BT19" s="1145">
        <v>452</v>
      </c>
      <c r="BU19" s="1146"/>
      <c r="BV19" s="1148"/>
      <c r="BW19" s="1149"/>
      <c r="BX19" s="1149"/>
      <c r="BY19" s="1149"/>
      <c r="BZ19" s="1149"/>
      <c r="CA19" s="1150"/>
      <c r="CB19" s="1147">
        <v>2</v>
      </c>
      <c r="CC19" s="1145">
        <v>40</v>
      </c>
      <c r="CD19" s="1145">
        <v>2</v>
      </c>
      <c r="CE19" s="1145"/>
      <c r="CF19" s="1145">
        <v>8187</v>
      </c>
      <c r="CG19" s="1146"/>
      <c r="CH19" s="1147"/>
      <c r="CI19" s="1145"/>
      <c r="CJ19" s="1145"/>
      <c r="CK19" s="1145"/>
      <c r="CL19" s="1145">
        <v>11</v>
      </c>
      <c r="CM19" s="1146"/>
      <c r="CN19" s="1147"/>
      <c r="CO19" s="1145">
        <v>10</v>
      </c>
      <c r="CP19" s="1145"/>
      <c r="CQ19" s="1145"/>
      <c r="CR19" s="1145"/>
      <c r="CS19" s="1146"/>
      <c r="CT19" s="1147"/>
      <c r="CU19" s="1145">
        <v>7</v>
      </c>
      <c r="CV19" s="1145"/>
      <c r="CW19" s="1145"/>
      <c r="CX19" s="1145">
        <v>390</v>
      </c>
      <c r="CY19" s="1146"/>
      <c r="CZ19" s="1147"/>
      <c r="DA19" s="1145">
        <v>909</v>
      </c>
      <c r="DB19" s="1145">
        <v>4465</v>
      </c>
      <c r="DC19" s="1145"/>
      <c r="DD19" s="1145">
        <v>21023</v>
      </c>
      <c r="DE19" s="1146"/>
      <c r="DF19" s="1151"/>
      <c r="DG19" s="1145"/>
      <c r="DH19" s="1145"/>
      <c r="DI19" s="1145"/>
      <c r="DJ19" s="1145"/>
      <c r="DK19" s="1146"/>
      <c r="DL19" s="301">
        <v>4</v>
      </c>
      <c r="DM19" s="302"/>
      <c r="DN19" s="302"/>
      <c r="DO19" s="302"/>
      <c r="DP19" s="302"/>
      <c r="DQ19" s="303"/>
      <c r="DR19" s="1152">
        <v>22</v>
      </c>
      <c r="DS19" s="1153"/>
      <c r="DT19" s="1153"/>
      <c r="DU19" s="1153"/>
      <c r="DV19" s="1153">
        <v>231</v>
      </c>
      <c r="DW19" s="1154"/>
      <c r="DX19" s="1155"/>
      <c r="DY19" s="1156"/>
      <c r="DZ19" s="1156"/>
      <c r="EA19" s="1156"/>
      <c r="EB19" s="1156"/>
      <c r="EC19" s="1157"/>
      <c r="ED19" s="1147"/>
      <c r="EE19" s="1145"/>
      <c r="EF19" s="1145"/>
      <c r="EG19" s="1145"/>
      <c r="EH19" s="1145"/>
      <c r="EI19" s="1158"/>
      <c r="EJ19" s="1155">
        <v>33</v>
      </c>
      <c r="EK19" s="1156">
        <v>7</v>
      </c>
      <c r="EL19" s="1156"/>
      <c r="EM19" s="1156"/>
      <c r="EN19" s="1145"/>
      <c r="EO19" s="1146"/>
    </row>
  </sheetData>
  <sheetProtection/>
  <mergeCells count="27">
    <mergeCell ref="ED3:EI3"/>
    <mergeCell ref="EJ3:EO3"/>
    <mergeCell ref="A1:EO1"/>
    <mergeCell ref="A2:EO2"/>
    <mergeCell ref="A3:A4"/>
    <mergeCell ref="B3:G3"/>
    <mergeCell ref="H3:M3"/>
    <mergeCell ref="CZ3:DE3"/>
    <mergeCell ref="DL3:DQ3"/>
    <mergeCell ref="DR3:DW3"/>
    <mergeCell ref="DX3:EC3"/>
    <mergeCell ref="DF3:DK3"/>
    <mergeCell ref="AR3:AW3"/>
    <mergeCell ref="AX3:BC3"/>
    <mergeCell ref="BD3:BI3"/>
    <mergeCell ref="BJ3:BO3"/>
    <mergeCell ref="BV3:CA3"/>
    <mergeCell ref="CB3:CG3"/>
    <mergeCell ref="CH3:CM3"/>
    <mergeCell ref="CN3:CS3"/>
    <mergeCell ref="CT3:CY3"/>
    <mergeCell ref="BP3:BU3"/>
    <mergeCell ref="N3:S3"/>
    <mergeCell ref="T3:Y3"/>
    <mergeCell ref="Z3:AE3"/>
    <mergeCell ref="AF3:AK3"/>
    <mergeCell ref="AL3:AQ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FM13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G2" sqref="FG2:FM2"/>
    </sheetView>
  </sheetViews>
  <sheetFormatPr defaultColWidth="9.140625" defaultRowHeight="15"/>
  <cols>
    <col min="1" max="1" width="69.140625" style="0" bestFit="1" customWidth="1"/>
    <col min="2" max="2" width="9.28125" style="0" customWidth="1"/>
    <col min="3" max="3" width="10.28125" style="1822" customWidth="1"/>
    <col min="4" max="4" width="12.28125" style="0" bestFit="1" customWidth="1"/>
    <col min="5" max="5" width="13.7109375" style="0" bestFit="1" customWidth="1"/>
    <col min="6" max="6" width="8.8515625" style="0" bestFit="1" customWidth="1"/>
    <col min="7" max="7" width="9.57421875" style="0" bestFit="1" customWidth="1"/>
    <col min="8" max="8" width="15.00390625" style="0" bestFit="1" customWidth="1"/>
    <col min="10" max="10" width="8.28125" style="0" customWidth="1"/>
    <col min="11" max="11" width="12.28125" style="0" bestFit="1" customWidth="1"/>
    <col min="12" max="12" width="13.7109375" style="0" bestFit="1" customWidth="1"/>
    <col min="13" max="13" width="8.8515625" style="0" bestFit="1" customWidth="1"/>
    <col min="14" max="14" width="9.57421875" style="0" bestFit="1" customWidth="1"/>
    <col min="15" max="15" width="15.00390625" style="0" bestFit="1" customWidth="1"/>
    <col min="16" max="17" width="9.00390625" style="0" bestFit="1" customWidth="1"/>
    <col min="18" max="18" width="12.28125" style="0" bestFit="1" customWidth="1"/>
    <col min="19" max="19" width="13.7109375" style="0" bestFit="1" customWidth="1"/>
    <col min="20" max="20" width="8.8515625" style="0" bestFit="1" customWidth="1"/>
    <col min="21" max="21" width="9.57421875" style="0" bestFit="1" customWidth="1"/>
    <col min="22" max="22" width="15.00390625" style="0" bestFit="1" customWidth="1"/>
    <col min="23" max="23" width="7.57421875" style="0" bestFit="1" customWidth="1"/>
    <col min="24" max="24" width="6.7109375" style="0" bestFit="1" customWidth="1"/>
    <col min="25" max="25" width="12.28125" style="0" bestFit="1" customWidth="1"/>
    <col min="26" max="26" width="13.7109375" style="0" bestFit="1" customWidth="1"/>
    <col min="27" max="27" width="8.8515625" style="0" bestFit="1" customWidth="1"/>
    <col min="28" max="28" width="9.57421875" style="0" bestFit="1" customWidth="1"/>
    <col min="29" max="29" width="15.00390625" style="0" bestFit="1" customWidth="1"/>
    <col min="30" max="30" width="7.57421875" style="0" bestFit="1" customWidth="1"/>
    <col min="31" max="31" width="6.57421875" style="0" customWidth="1"/>
    <col min="32" max="32" width="12.28125" style="0" bestFit="1" customWidth="1"/>
    <col min="33" max="33" width="13.7109375" style="0" bestFit="1" customWidth="1"/>
    <col min="34" max="34" width="8.8515625" style="0" bestFit="1" customWidth="1"/>
    <col min="35" max="35" width="7.421875" style="0" customWidth="1"/>
    <col min="37" max="37" width="8.7109375" style="0" customWidth="1"/>
    <col min="38" max="38" width="6.28125" style="0" bestFit="1" customWidth="1"/>
    <col min="39" max="39" width="12.28125" style="0" bestFit="1" customWidth="1"/>
    <col min="40" max="40" width="13.7109375" style="0" bestFit="1" customWidth="1"/>
    <col min="41" max="41" width="8.8515625" style="0" bestFit="1" customWidth="1"/>
    <col min="42" max="42" width="9.57421875" style="0" bestFit="1" customWidth="1"/>
    <col min="43" max="43" width="15.00390625" style="0" bestFit="1" customWidth="1"/>
    <col min="44" max="44" width="7.57421875" style="0" bestFit="1" customWidth="1"/>
    <col min="46" max="46" width="12.28125" style="0" bestFit="1" customWidth="1"/>
    <col min="47" max="47" width="13.7109375" style="0" bestFit="1" customWidth="1"/>
    <col min="48" max="48" width="8.8515625" style="0" bestFit="1" customWidth="1"/>
    <col min="49" max="49" width="9.57421875" style="0" bestFit="1" customWidth="1"/>
    <col min="50" max="50" width="15.00390625" style="0" bestFit="1" customWidth="1"/>
    <col min="51" max="51" width="7.57421875" style="0" bestFit="1" customWidth="1"/>
    <col min="52" max="52" width="6.00390625" style="0" customWidth="1"/>
    <col min="53" max="53" width="12.28125" style="0" bestFit="1" customWidth="1"/>
    <col min="54" max="54" width="13.7109375" style="0" bestFit="1" customWidth="1"/>
    <col min="55" max="55" width="8.8515625" style="0" bestFit="1" customWidth="1"/>
    <col min="56" max="56" width="9.57421875" style="0" bestFit="1" customWidth="1"/>
    <col min="58" max="58" width="7.57421875" style="0" bestFit="1" customWidth="1"/>
    <col min="59" max="59" width="6.00390625" style="0" customWidth="1"/>
    <col min="60" max="60" width="12.28125" style="0" bestFit="1" customWidth="1"/>
    <col min="61" max="61" width="13.7109375" style="0" bestFit="1" customWidth="1"/>
    <col min="62" max="62" width="8.8515625" style="0" bestFit="1" customWidth="1"/>
    <col min="63" max="63" width="9.57421875" style="0" bestFit="1" customWidth="1"/>
    <col min="64" max="64" width="15.00390625" style="0" bestFit="1" customWidth="1"/>
    <col min="65" max="65" width="7.57421875" style="0" bestFit="1" customWidth="1"/>
    <col min="66" max="66" width="6.57421875" style="0" customWidth="1"/>
    <col min="67" max="67" width="12.28125" style="0" bestFit="1" customWidth="1"/>
    <col min="68" max="68" width="13.7109375" style="0" bestFit="1" customWidth="1"/>
    <col min="69" max="69" width="8.8515625" style="0" bestFit="1" customWidth="1"/>
    <col min="70" max="70" width="9.57421875" style="0" bestFit="1" customWidth="1"/>
    <col min="71" max="71" width="15.00390625" style="0" bestFit="1" customWidth="1"/>
    <col min="72" max="72" width="7.57421875" style="0" bestFit="1" customWidth="1"/>
    <col min="73" max="73" width="6.7109375" style="0" bestFit="1" customWidth="1"/>
    <col min="74" max="74" width="12.28125" style="0" bestFit="1" customWidth="1"/>
    <col min="75" max="75" width="13.7109375" style="0" bestFit="1" customWidth="1"/>
    <col min="76" max="76" width="8.8515625" style="0" bestFit="1" customWidth="1"/>
    <col min="77" max="77" width="9.57421875" style="0" bestFit="1" customWidth="1"/>
    <col min="78" max="78" width="15.00390625" style="0" bestFit="1" customWidth="1"/>
    <col min="79" max="79" width="7.57421875" style="0" bestFit="1" customWidth="1"/>
    <col min="80" max="80" width="6.7109375" style="0" bestFit="1" customWidth="1"/>
    <col min="81" max="81" width="12.28125" style="0" bestFit="1" customWidth="1"/>
    <col min="82" max="82" width="13.7109375" style="0" bestFit="1" customWidth="1"/>
    <col min="83" max="83" width="8.8515625" style="0" bestFit="1" customWidth="1"/>
    <col min="84" max="84" width="9.57421875" style="0" bestFit="1" customWidth="1"/>
    <col min="85" max="85" width="15.00390625" style="0" bestFit="1" customWidth="1"/>
    <col min="86" max="86" width="7.57421875" style="0" bestFit="1" customWidth="1"/>
    <col min="87" max="87" width="6.7109375" style="0" bestFit="1" customWidth="1"/>
    <col min="88" max="88" width="12.28125" style="0" bestFit="1" customWidth="1"/>
    <col min="89" max="89" width="13.7109375" style="0" bestFit="1" customWidth="1"/>
    <col min="90" max="90" width="8.8515625" style="0" bestFit="1" customWidth="1"/>
    <col min="91" max="91" width="9.57421875" style="0" bestFit="1" customWidth="1"/>
    <col min="92" max="92" width="15.00390625" style="0" bestFit="1" customWidth="1"/>
    <col min="93" max="93" width="7.57421875" style="0" bestFit="1" customWidth="1"/>
    <col min="94" max="94" width="6.7109375" style="0" bestFit="1" customWidth="1"/>
    <col min="95" max="95" width="12.28125" style="0" bestFit="1" customWidth="1"/>
    <col min="96" max="96" width="13.7109375" style="0" bestFit="1" customWidth="1"/>
    <col min="97" max="97" width="8.8515625" style="0" bestFit="1" customWidth="1"/>
    <col min="98" max="98" width="9.57421875" style="0" bestFit="1" customWidth="1"/>
    <col min="99" max="99" width="15.00390625" style="0" bestFit="1" customWidth="1"/>
    <col min="100" max="100" width="7.57421875" style="0" bestFit="1" customWidth="1"/>
    <col min="101" max="101" width="7.140625" style="0" bestFit="1" customWidth="1"/>
    <col min="102" max="102" width="12.28125" style="0" bestFit="1" customWidth="1"/>
    <col min="103" max="103" width="13.7109375" style="0" bestFit="1" customWidth="1"/>
    <col min="104" max="104" width="8.8515625" style="0" bestFit="1" customWidth="1"/>
    <col min="105" max="105" width="9.57421875" style="0" bestFit="1" customWidth="1"/>
    <col min="106" max="106" width="15.00390625" style="0" bestFit="1" customWidth="1"/>
    <col min="107" max="107" width="7.57421875" style="0" bestFit="1" customWidth="1"/>
    <col min="108" max="108" width="7.421875" style="0" customWidth="1"/>
    <col min="109" max="109" width="12.28125" style="0" bestFit="1" customWidth="1"/>
    <col min="110" max="110" width="13.7109375" style="0" bestFit="1" customWidth="1"/>
    <col min="111" max="111" width="8.8515625" style="0" bestFit="1" customWidth="1"/>
    <col min="112" max="112" width="9.57421875" style="0" bestFit="1" customWidth="1"/>
    <col min="113" max="113" width="15.00390625" style="0" bestFit="1" customWidth="1"/>
    <col min="114" max="114" width="7.57421875" style="0" bestFit="1" customWidth="1"/>
    <col min="115" max="115" width="6.28125" style="0" customWidth="1"/>
    <col min="116" max="116" width="12.28125" style="0" bestFit="1" customWidth="1"/>
    <col min="117" max="117" width="13.7109375" style="0" bestFit="1" customWidth="1"/>
    <col min="118" max="118" width="8.8515625" style="0" bestFit="1" customWidth="1"/>
    <col min="119" max="119" width="9.57421875" style="0" bestFit="1" customWidth="1"/>
    <col min="120" max="120" width="15.00390625" style="0" bestFit="1" customWidth="1"/>
    <col min="121" max="121" width="7.57421875" style="0" bestFit="1" customWidth="1"/>
    <col min="122" max="122" width="5.8515625" style="0" bestFit="1" customWidth="1"/>
    <col min="123" max="123" width="12.28125" style="0" bestFit="1" customWidth="1"/>
    <col min="124" max="124" width="13.7109375" style="0" bestFit="1" customWidth="1"/>
    <col min="125" max="125" width="8.8515625" style="0" bestFit="1" customWidth="1"/>
    <col min="126" max="126" width="9.57421875" style="0" bestFit="1" customWidth="1"/>
    <col min="127" max="127" width="15.00390625" style="0" bestFit="1" customWidth="1"/>
    <col min="128" max="128" width="9.00390625" style="0" bestFit="1" customWidth="1"/>
    <col min="136" max="136" width="9.00390625" style="0" bestFit="1" customWidth="1"/>
    <col min="137" max="137" width="12.28125" style="0" bestFit="1" customWidth="1"/>
    <col min="138" max="138" width="13.7109375" style="0" bestFit="1" customWidth="1"/>
    <col min="139" max="139" width="8.8515625" style="0" bestFit="1" customWidth="1"/>
    <col min="140" max="140" width="9.57421875" style="0" bestFit="1" customWidth="1"/>
    <col min="141" max="141" width="15.00390625" style="0" bestFit="1" customWidth="1"/>
    <col min="142" max="142" width="7.57421875" style="0" bestFit="1" customWidth="1"/>
    <col min="143" max="143" width="6.28125" style="0" bestFit="1" customWidth="1"/>
    <col min="144" max="144" width="12.28125" style="0" bestFit="1" customWidth="1"/>
    <col min="145" max="145" width="13.7109375" style="0" bestFit="1" customWidth="1"/>
    <col min="146" max="146" width="8.8515625" style="0" bestFit="1" customWidth="1"/>
    <col min="147" max="147" width="9.57421875" style="0" bestFit="1" customWidth="1"/>
    <col min="148" max="148" width="15.00390625" style="0" bestFit="1" customWidth="1"/>
    <col min="149" max="149" width="7.57421875" style="0" bestFit="1" customWidth="1"/>
    <col min="150" max="150" width="6.28125" style="0" customWidth="1"/>
    <col min="151" max="151" width="12.28125" style="0" bestFit="1" customWidth="1"/>
    <col min="152" max="152" width="13.7109375" style="0" bestFit="1" customWidth="1"/>
    <col min="153" max="153" width="8.8515625" style="0" bestFit="1" customWidth="1"/>
    <col min="154" max="154" width="9.57421875" style="0" bestFit="1" customWidth="1"/>
    <col min="155" max="155" width="15.00390625" style="0" bestFit="1" customWidth="1"/>
    <col min="156" max="156" width="7.57421875" style="0" bestFit="1" customWidth="1"/>
    <col min="157" max="157" width="5.8515625" style="0" bestFit="1" customWidth="1"/>
    <col min="158" max="158" width="12.28125" style="0" bestFit="1" customWidth="1"/>
    <col min="159" max="159" width="13.7109375" style="0" bestFit="1" customWidth="1"/>
    <col min="160" max="160" width="8.8515625" style="0" bestFit="1" customWidth="1"/>
    <col min="161" max="161" width="9.57421875" style="0" bestFit="1" customWidth="1"/>
    <col min="162" max="162" width="15.00390625" style="0" bestFit="1" customWidth="1"/>
    <col min="163" max="163" width="9.57421875" style="0" bestFit="1" customWidth="1"/>
    <col min="164" max="164" width="7.7109375" style="0" bestFit="1" customWidth="1"/>
    <col min="165" max="165" width="12.28125" style="0" bestFit="1" customWidth="1"/>
    <col min="166" max="166" width="13.7109375" style="0" bestFit="1" customWidth="1"/>
    <col min="167" max="167" width="8.8515625" style="0" bestFit="1" customWidth="1"/>
    <col min="168" max="168" width="9.57421875" style="0" bestFit="1" customWidth="1"/>
    <col min="169" max="169" width="15.00390625" style="0" bestFit="1" customWidth="1"/>
  </cols>
  <sheetData>
    <row r="1" spans="1:20" ht="17.25" thickBot="1">
      <c r="A1" s="1778" t="s">
        <v>531</v>
      </c>
      <c r="B1" s="139"/>
      <c r="C1" s="92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169" ht="17.25" customHeight="1" thickBot="1">
      <c r="A2" s="1806" t="s">
        <v>572</v>
      </c>
      <c r="B2" s="2155" t="s">
        <v>187</v>
      </c>
      <c r="C2" s="2156"/>
      <c r="D2" s="2156"/>
      <c r="E2" s="2156"/>
      <c r="F2" s="2156"/>
      <c r="G2" s="2156"/>
      <c r="H2" s="2157"/>
      <c r="I2" s="2160" t="s">
        <v>188</v>
      </c>
      <c r="J2" s="2161"/>
      <c r="K2" s="2161"/>
      <c r="L2" s="2161"/>
      <c r="M2" s="2161"/>
      <c r="N2" s="2161"/>
      <c r="O2" s="2162"/>
      <c r="P2" s="2160" t="s">
        <v>189</v>
      </c>
      <c r="Q2" s="2161"/>
      <c r="R2" s="2161"/>
      <c r="S2" s="2161"/>
      <c r="T2" s="2161"/>
      <c r="U2" s="2161"/>
      <c r="V2" s="2162"/>
      <c r="W2" s="2160" t="s">
        <v>190</v>
      </c>
      <c r="X2" s="2161"/>
      <c r="Y2" s="2161"/>
      <c r="Z2" s="2161"/>
      <c r="AA2" s="2161"/>
      <c r="AB2" s="2161"/>
      <c r="AC2" s="2162"/>
      <c r="AD2" s="2160" t="s">
        <v>191</v>
      </c>
      <c r="AE2" s="2161"/>
      <c r="AF2" s="2161"/>
      <c r="AG2" s="2161"/>
      <c r="AH2" s="2161"/>
      <c r="AI2" s="2161"/>
      <c r="AJ2" s="2162"/>
      <c r="AK2" s="2160" t="s">
        <v>192</v>
      </c>
      <c r="AL2" s="2161"/>
      <c r="AM2" s="2161"/>
      <c r="AN2" s="2161"/>
      <c r="AO2" s="2161"/>
      <c r="AP2" s="2161"/>
      <c r="AQ2" s="2162"/>
      <c r="AR2" s="2160" t="s">
        <v>570</v>
      </c>
      <c r="AS2" s="2161"/>
      <c r="AT2" s="2161"/>
      <c r="AU2" s="2161"/>
      <c r="AV2" s="2161"/>
      <c r="AW2" s="2161"/>
      <c r="AX2" s="2162"/>
      <c r="AY2" s="2160" t="s">
        <v>194</v>
      </c>
      <c r="AZ2" s="2161"/>
      <c r="BA2" s="2161"/>
      <c r="BB2" s="2161"/>
      <c r="BC2" s="2161"/>
      <c r="BD2" s="2161"/>
      <c r="BE2" s="2162"/>
      <c r="BF2" s="2160" t="s">
        <v>411</v>
      </c>
      <c r="BG2" s="2161"/>
      <c r="BH2" s="2161"/>
      <c r="BI2" s="2161"/>
      <c r="BJ2" s="2161"/>
      <c r="BK2" s="2161"/>
      <c r="BL2" s="2162"/>
      <c r="BM2" s="2160" t="s">
        <v>196</v>
      </c>
      <c r="BN2" s="2161"/>
      <c r="BO2" s="2161"/>
      <c r="BP2" s="2161"/>
      <c r="BQ2" s="2161"/>
      <c r="BR2" s="2161"/>
      <c r="BS2" s="2162"/>
      <c r="BT2" s="2160" t="s">
        <v>197</v>
      </c>
      <c r="BU2" s="2161"/>
      <c r="BV2" s="2161"/>
      <c r="BW2" s="2161"/>
      <c r="BX2" s="2161"/>
      <c r="BY2" s="2161"/>
      <c r="BZ2" s="2162"/>
      <c r="CA2" s="2160" t="s">
        <v>198</v>
      </c>
      <c r="CB2" s="2161"/>
      <c r="CC2" s="2161"/>
      <c r="CD2" s="2161"/>
      <c r="CE2" s="2161"/>
      <c r="CF2" s="2161"/>
      <c r="CG2" s="2162"/>
      <c r="CH2" s="2160" t="s">
        <v>283</v>
      </c>
      <c r="CI2" s="2161"/>
      <c r="CJ2" s="2161"/>
      <c r="CK2" s="2161"/>
      <c r="CL2" s="2161"/>
      <c r="CM2" s="2161"/>
      <c r="CN2" s="2162"/>
      <c r="CO2" s="2160" t="s">
        <v>200</v>
      </c>
      <c r="CP2" s="2161"/>
      <c r="CQ2" s="2161"/>
      <c r="CR2" s="2161"/>
      <c r="CS2" s="2161"/>
      <c r="CT2" s="2161"/>
      <c r="CU2" s="2162"/>
      <c r="CV2" s="1975" t="s">
        <v>201</v>
      </c>
      <c r="CW2" s="2166"/>
      <c r="CX2" s="2166"/>
      <c r="CY2" s="2166"/>
      <c r="CZ2" s="2166"/>
      <c r="DA2" s="2166"/>
      <c r="DB2" s="1976"/>
      <c r="DC2" s="2160" t="s">
        <v>202</v>
      </c>
      <c r="DD2" s="2161"/>
      <c r="DE2" s="2161"/>
      <c r="DF2" s="2161"/>
      <c r="DG2" s="2161"/>
      <c r="DH2" s="2161"/>
      <c r="DI2" s="2162"/>
      <c r="DJ2" s="2160" t="s">
        <v>203</v>
      </c>
      <c r="DK2" s="2161"/>
      <c r="DL2" s="2161"/>
      <c r="DM2" s="2161"/>
      <c r="DN2" s="2161"/>
      <c r="DO2" s="2161"/>
      <c r="DP2" s="2162"/>
      <c r="DQ2" s="2160" t="s">
        <v>204</v>
      </c>
      <c r="DR2" s="2161"/>
      <c r="DS2" s="2161"/>
      <c r="DT2" s="2161"/>
      <c r="DU2" s="2161"/>
      <c r="DV2" s="2161"/>
      <c r="DW2" s="2162"/>
      <c r="DX2" s="1975" t="s">
        <v>205</v>
      </c>
      <c r="DY2" s="2166"/>
      <c r="DZ2" s="2166"/>
      <c r="EA2" s="2166"/>
      <c r="EB2" s="2166"/>
      <c r="EC2" s="2166"/>
      <c r="ED2" s="1976"/>
      <c r="EE2" s="2160" t="s">
        <v>206</v>
      </c>
      <c r="EF2" s="2161"/>
      <c r="EG2" s="2161"/>
      <c r="EH2" s="2161"/>
      <c r="EI2" s="2161"/>
      <c r="EJ2" s="2161"/>
      <c r="EK2" s="2162"/>
      <c r="EL2" s="2160" t="s">
        <v>207</v>
      </c>
      <c r="EM2" s="2161"/>
      <c r="EN2" s="2161"/>
      <c r="EO2" s="2161"/>
      <c r="EP2" s="2161"/>
      <c r="EQ2" s="2161"/>
      <c r="ER2" s="2162"/>
      <c r="ES2" s="2160" t="s">
        <v>208</v>
      </c>
      <c r="ET2" s="2161"/>
      <c r="EU2" s="2161"/>
      <c r="EV2" s="2161"/>
      <c r="EW2" s="2161"/>
      <c r="EX2" s="2161"/>
      <c r="EY2" s="2162"/>
      <c r="EZ2" s="2160" t="s">
        <v>571</v>
      </c>
      <c r="FA2" s="2161"/>
      <c r="FB2" s="2161"/>
      <c r="FC2" s="2161"/>
      <c r="FD2" s="2161"/>
      <c r="FE2" s="2161"/>
      <c r="FF2" s="2162"/>
      <c r="FG2" s="1975" t="s">
        <v>210</v>
      </c>
      <c r="FH2" s="2166"/>
      <c r="FI2" s="2166"/>
      <c r="FJ2" s="2166"/>
      <c r="FK2" s="2166"/>
      <c r="FL2" s="2166"/>
      <c r="FM2" s="1976"/>
    </row>
    <row r="3" spans="1:169" s="1782" customFormat="1" ht="114" customHeight="1" thickBot="1">
      <c r="A3" s="2145" t="s">
        <v>0</v>
      </c>
      <c r="B3" s="2147" t="s">
        <v>547</v>
      </c>
      <c r="C3" s="2149" t="s">
        <v>545</v>
      </c>
      <c r="D3" s="2163" t="s">
        <v>543</v>
      </c>
      <c r="E3" s="2164"/>
      <c r="F3" s="2165"/>
      <c r="G3" s="2151" t="s">
        <v>548</v>
      </c>
      <c r="H3" s="2153" t="s">
        <v>549</v>
      </c>
      <c r="I3" s="2147" t="s">
        <v>547</v>
      </c>
      <c r="J3" s="2158" t="s">
        <v>545</v>
      </c>
      <c r="K3" s="2163" t="s">
        <v>543</v>
      </c>
      <c r="L3" s="2164"/>
      <c r="M3" s="2165"/>
      <c r="N3" s="2151" t="s">
        <v>548</v>
      </c>
      <c r="O3" s="2153" t="s">
        <v>549</v>
      </c>
      <c r="P3" s="2147" t="s">
        <v>547</v>
      </c>
      <c r="Q3" s="2158" t="s">
        <v>545</v>
      </c>
      <c r="R3" s="2163" t="s">
        <v>543</v>
      </c>
      <c r="S3" s="2164"/>
      <c r="T3" s="2165"/>
      <c r="U3" s="2151" t="s">
        <v>548</v>
      </c>
      <c r="V3" s="2153" t="s">
        <v>549</v>
      </c>
      <c r="W3" s="2147" t="s">
        <v>547</v>
      </c>
      <c r="X3" s="2158" t="s">
        <v>545</v>
      </c>
      <c r="Y3" s="2163" t="s">
        <v>543</v>
      </c>
      <c r="Z3" s="2164"/>
      <c r="AA3" s="2165"/>
      <c r="AB3" s="2151" t="s">
        <v>548</v>
      </c>
      <c r="AC3" s="2153" t="s">
        <v>549</v>
      </c>
      <c r="AD3" s="2147" t="s">
        <v>547</v>
      </c>
      <c r="AE3" s="2158" t="s">
        <v>545</v>
      </c>
      <c r="AF3" s="2163" t="s">
        <v>543</v>
      </c>
      <c r="AG3" s="2164"/>
      <c r="AH3" s="2165"/>
      <c r="AI3" s="2151" t="s">
        <v>548</v>
      </c>
      <c r="AJ3" s="2153" t="s">
        <v>549</v>
      </c>
      <c r="AK3" s="2147" t="s">
        <v>547</v>
      </c>
      <c r="AL3" s="2158" t="s">
        <v>545</v>
      </c>
      <c r="AM3" s="2163" t="s">
        <v>543</v>
      </c>
      <c r="AN3" s="2164"/>
      <c r="AO3" s="2165"/>
      <c r="AP3" s="2151" t="s">
        <v>548</v>
      </c>
      <c r="AQ3" s="2153" t="s">
        <v>549</v>
      </c>
      <c r="AR3" s="2147" t="s">
        <v>547</v>
      </c>
      <c r="AS3" s="2158" t="s">
        <v>545</v>
      </c>
      <c r="AT3" s="2163" t="s">
        <v>543</v>
      </c>
      <c r="AU3" s="2164"/>
      <c r="AV3" s="2165"/>
      <c r="AW3" s="2151" t="s">
        <v>548</v>
      </c>
      <c r="AX3" s="2153" t="s">
        <v>549</v>
      </c>
      <c r="AY3" s="2147" t="s">
        <v>547</v>
      </c>
      <c r="AZ3" s="2158" t="s">
        <v>545</v>
      </c>
      <c r="BA3" s="2163" t="s">
        <v>543</v>
      </c>
      <c r="BB3" s="2164"/>
      <c r="BC3" s="2165"/>
      <c r="BD3" s="2151" t="s">
        <v>548</v>
      </c>
      <c r="BE3" s="2153" t="s">
        <v>549</v>
      </c>
      <c r="BF3" s="2147" t="s">
        <v>547</v>
      </c>
      <c r="BG3" s="2158" t="s">
        <v>545</v>
      </c>
      <c r="BH3" s="2163" t="s">
        <v>543</v>
      </c>
      <c r="BI3" s="2164"/>
      <c r="BJ3" s="2165"/>
      <c r="BK3" s="2151" t="s">
        <v>548</v>
      </c>
      <c r="BL3" s="2153" t="s">
        <v>549</v>
      </c>
      <c r="BM3" s="2147" t="s">
        <v>547</v>
      </c>
      <c r="BN3" s="2158" t="s">
        <v>545</v>
      </c>
      <c r="BO3" s="2163" t="s">
        <v>543</v>
      </c>
      <c r="BP3" s="2164"/>
      <c r="BQ3" s="2165"/>
      <c r="BR3" s="2151" t="s">
        <v>548</v>
      </c>
      <c r="BS3" s="2153" t="s">
        <v>549</v>
      </c>
      <c r="BT3" s="2147" t="s">
        <v>547</v>
      </c>
      <c r="BU3" s="2158" t="s">
        <v>545</v>
      </c>
      <c r="BV3" s="2163" t="s">
        <v>543</v>
      </c>
      <c r="BW3" s="2164"/>
      <c r="BX3" s="2165"/>
      <c r="BY3" s="2151" t="s">
        <v>548</v>
      </c>
      <c r="BZ3" s="2153" t="s">
        <v>549</v>
      </c>
      <c r="CA3" s="2147" t="s">
        <v>547</v>
      </c>
      <c r="CB3" s="2158" t="s">
        <v>545</v>
      </c>
      <c r="CC3" s="2163" t="s">
        <v>543</v>
      </c>
      <c r="CD3" s="2164"/>
      <c r="CE3" s="2165"/>
      <c r="CF3" s="2151" t="s">
        <v>548</v>
      </c>
      <c r="CG3" s="2153" t="s">
        <v>549</v>
      </c>
      <c r="CH3" s="2147" t="s">
        <v>547</v>
      </c>
      <c r="CI3" s="2158" t="s">
        <v>545</v>
      </c>
      <c r="CJ3" s="2163" t="s">
        <v>543</v>
      </c>
      <c r="CK3" s="2164"/>
      <c r="CL3" s="2165"/>
      <c r="CM3" s="2151" t="s">
        <v>548</v>
      </c>
      <c r="CN3" s="2153" t="s">
        <v>549</v>
      </c>
      <c r="CO3" s="2147" t="s">
        <v>547</v>
      </c>
      <c r="CP3" s="2158" t="s">
        <v>545</v>
      </c>
      <c r="CQ3" s="2163" t="s">
        <v>543</v>
      </c>
      <c r="CR3" s="2164"/>
      <c r="CS3" s="2165"/>
      <c r="CT3" s="2151" t="s">
        <v>548</v>
      </c>
      <c r="CU3" s="2153" t="s">
        <v>549</v>
      </c>
      <c r="CV3" s="2147" t="s">
        <v>547</v>
      </c>
      <c r="CW3" s="2158" t="s">
        <v>545</v>
      </c>
      <c r="CX3" s="2163" t="s">
        <v>543</v>
      </c>
      <c r="CY3" s="2164"/>
      <c r="CZ3" s="2165"/>
      <c r="DA3" s="2151" t="s">
        <v>548</v>
      </c>
      <c r="DB3" s="2153" t="s">
        <v>549</v>
      </c>
      <c r="DC3" s="2147" t="s">
        <v>547</v>
      </c>
      <c r="DD3" s="2158" t="s">
        <v>545</v>
      </c>
      <c r="DE3" s="2163" t="s">
        <v>543</v>
      </c>
      <c r="DF3" s="2164"/>
      <c r="DG3" s="2165"/>
      <c r="DH3" s="2151" t="s">
        <v>548</v>
      </c>
      <c r="DI3" s="2153" t="s">
        <v>549</v>
      </c>
      <c r="DJ3" s="2147" t="s">
        <v>547</v>
      </c>
      <c r="DK3" s="2158" t="s">
        <v>545</v>
      </c>
      <c r="DL3" s="2163" t="s">
        <v>543</v>
      </c>
      <c r="DM3" s="2164"/>
      <c r="DN3" s="2165"/>
      <c r="DO3" s="2151" t="s">
        <v>548</v>
      </c>
      <c r="DP3" s="2153" t="s">
        <v>549</v>
      </c>
      <c r="DQ3" s="2147" t="s">
        <v>547</v>
      </c>
      <c r="DR3" s="2158" t="s">
        <v>545</v>
      </c>
      <c r="DS3" s="2163" t="s">
        <v>543</v>
      </c>
      <c r="DT3" s="2164"/>
      <c r="DU3" s="2165"/>
      <c r="DV3" s="2151" t="s">
        <v>548</v>
      </c>
      <c r="DW3" s="2153" t="s">
        <v>549</v>
      </c>
      <c r="DX3" s="2147" t="s">
        <v>547</v>
      </c>
      <c r="DY3" s="2158" t="s">
        <v>545</v>
      </c>
      <c r="DZ3" s="2163" t="s">
        <v>543</v>
      </c>
      <c r="EA3" s="2164"/>
      <c r="EB3" s="2165"/>
      <c r="EC3" s="2151" t="s">
        <v>548</v>
      </c>
      <c r="ED3" s="2153" t="s">
        <v>549</v>
      </c>
      <c r="EE3" s="2147" t="s">
        <v>547</v>
      </c>
      <c r="EF3" s="2158" t="s">
        <v>545</v>
      </c>
      <c r="EG3" s="2163" t="s">
        <v>543</v>
      </c>
      <c r="EH3" s="2164"/>
      <c r="EI3" s="2165"/>
      <c r="EJ3" s="2151" t="s">
        <v>548</v>
      </c>
      <c r="EK3" s="2153" t="s">
        <v>549</v>
      </c>
      <c r="EL3" s="2147" t="s">
        <v>547</v>
      </c>
      <c r="EM3" s="2158" t="s">
        <v>545</v>
      </c>
      <c r="EN3" s="2163" t="s">
        <v>543</v>
      </c>
      <c r="EO3" s="2164"/>
      <c r="EP3" s="2165"/>
      <c r="EQ3" s="2151" t="s">
        <v>548</v>
      </c>
      <c r="ER3" s="2153" t="s">
        <v>549</v>
      </c>
      <c r="ES3" s="2147" t="s">
        <v>547</v>
      </c>
      <c r="ET3" s="2158" t="s">
        <v>545</v>
      </c>
      <c r="EU3" s="2163" t="s">
        <v>543</v>
      </c>
      <c r="EV3" s="2164"/>
      <c r="EW3" s="2165"/>
      <c r="EX3" s="2151" t="s">
        <v>548</v>
      </c>
      <c r="EY3" s="2153" t="s">
        <v>549</v>
      </c>
      <c r="EZ3" s="2147" t="s">
        <v>547</v>
      </c>
      <c r="FA3" s="2158" t="s">
        <v>545</v>
      </c>
      <c r="FB3" s="2163" t="s">
        <v>543</v>
      </c>
      <c r="FC3" s="2164"/>
      <c r="FD3" s="2165"/>
      <c r="FE3" s="2151" t="s">
        <v>548</v>
      </c>
      <c r="FF3" s="2153" t="s">
        <v>549</v>
      </c>
      <c r="FG3" s="2147" t="s">
        <v>547</v>
      </c>
      <c r="FH3" s="2158" t="s">
        <v>545</v>
      </c>
      <c r="FI3" s="2163" t="s">
        <v>543</v>
      </c>
      <c r="FJ3" s="2164"/>
      <c r="FK3" s="2165"/>
      <c r="FL3" s="2151" t="s">
        <v>548</v>
      </c>
      <c r="FM3" s="2153" t="s">
        <v>549</v>
      </c>
    </row>
    <row r="4" spans="1:169" ht="17.25" thickBot="1">
      <c r="A4" s="2146"/>
      <c r="B4" s="2148"/>
      <c r="C4" s="2150"/>
      <c r="D4" s="1802" t="s">
        <v>542</v>
      </c>
      <c r="E4" s="1803" t="s">
        <v>544</v>
      </c>
      <c r="F4" s="1807" t="s">
        <v>532</v>
      </c>
      <c r="G4" s="2152"/>
      <c r="H4" s="2154"/>
      <c r="I4" s="2148"/>
      <c r="J4" s="2159"/>
      <c r="K4" s="1802" t="s">
        <v>542</v>
      </c>
      <c r="L4" s="1803" t="s">
        <v>544</v>
      </c>
      <c r="M4" s="1807" t="s">
        <v>532</v>
      </c>
      <c r="N4" s="2152"/>
      <c r="O4" s="2154"/>
      <c r="P4" s="2148"/>
      <c r="Q4" s="2159"/>
      <c r="R4" s="1802" t="s">
        <v>542</v>
      </c>
      <c r="S4" s="1803" t="s">
        <v>544</v>
      </c>
      <c r="T4" s="1807" t="s">
        <v>532</v>
      </c>
      <c r="U4" s="2152"/>
      <c r="V4" s="2154"/>
      <c r="W4" s="2148"/>
      <c r="X4" s="2148"/>
      <c r="Y4" s="1795" t="s">
        <v>542</v>
      </c>
      <c r="Z4" s="1795" t="s">
        <v>544</v>
      </c>
      <c r="AA4" s="1796" t="s">
        <v>532</v>
      </c>
      <c r="AB4" s="2148"/>
      <c r="AC4" s="2154"/>
      <c r="AD4" s="2148"/>
      <c r="AE4" s="2148"/>
      <c r="AF4" s="1795" t="s">
        <v>542</v>
      </c>
      <c r="AG4" s="1795" t="s">
        <v>544</v>
      </c>
      <c r="AH4" s="1796" t="s">
        <v>532</v>
      </c>
      <c r="AI4" s="2148"/>
      <c r="AJ4" s="2154"/>
      <c r="AK4" s="2148"/>
      <c r="AL4" s="2148"/>
      <c r="AM4" s="1795" t="s">
        <v>542</v>
      </c>
      <c r="AN4" s="1795" t="s">
        <v>544</v>
      </c>
      <c r="AO4" s="1796" t="s">
        <v>532</v>
      </c>
      <c r="AP4" s="2148"/>
      <c r="AQ4" s="2154"/>
      <c r="AR4" s="2148"/>
      <c r="AS4" s="2148"/>
      <c r="AT4" s="1795" t="s">
        <v>542</v>
      </c>
      <c r="AU4" s="1795" t="s">
        <v>544</v>
      </c>
      <c r="AV4" s="1796" t="s">
        <v>532</v>
      </c>
      <c r="AW4" s="2148"/>
      <c r="AX4" s="2154"/>
      <c r="AY4" s="2148"/>
      <c r="AZ4" s="2148"/>
      <c r="BA4" s="1795" t="s">
        <v>542</v>
      </c>
      <c r="BB4" s="1795" t="s">
        <v>544</v>
      </c>
      <c r="BC4" s="1796" t="s">
        <v>532</v>
      </c>
      <c r="BD4" s="2148"/>
      <c r="BE4" s="2154"/>
      <c r="BF4" s="2148"/>
      <c r="BG4" s="2148"/>
      <c r="BH4" s="1795" t="s">
        <v>542</v>
      </c>
      <c r="BI4" s="1795" t="s">
        <v>544</v>
      </c>
      <c r="BJ4" s="1796" t="s">
        <v>532</v>
      </c>
      <c r="BK4" s="2148"/>
      <c r="BL4" s="2154"/>
      <c r="BM4" s="2148"/>
      <c r="BN4" s="2148"/>
      <c r="BO4" s="1795" t="s">
        <v>542</v>
      </c>
      <c r="BP4" s="1795" t="s">
        <v>544</v>
      </c>
      <c r="BQ4" s="1796" t="s">
        <v>532</v>
      </c>
      <c r="BR4" s="2148"/>
      <c r="BS4" s="2154"/>
      <c r="BT4" s="2148"/>
      <c r="BU4" s="2148"/>
      <c r="BV4" s="1795" t="s">
        <v>542</v>
      </c>
      <c r="BW4" s="1795" t="s">
        <v>544</v>
      </c>
      <c r="BX4" s="1796" t="s">
        <v>532</v>
      </c>
      <c r="BY4" s="2148"/>
      <c r="BZ4" s="2154"/>
      <c r="CA4" s="2148"/>
      <c r="CB4" s="2148"/>
      <c r="CC4" s="1795" t="s">
        <v>542</v>
      </c>
      <c r="CD4" s="1795" t="s">
        <v>544</v>
      </c>
      <c r="CE4" s="1796" t="s">
        <v>532</v>
      </c>
      <c r="CF4" s="2148"/>
      <c r="CG4" s="2154"/>
      <c r="CH4" s="2148"/>
      <c r="CI4" s="2148"/>
      <c r="CJ4" s="1795" t="s">
        <v>542</v>
      </c>
      <c r="CK4" s="1795" t="s">
        <v>544</v>
      </c>
      <c r="CL4" s="1796" t="s">
        <v>532</v>
      </c>
      <c r="CM4" s="2148"/>
      <c r="CN4" s="2154"/>
      <c r="CO4" s="2148"/>
      <c r="CP4" s="2148"/>
      <c r="CQ4" s="1795" t="s">
        <v>542</v>
      </c>
      <c r="CR4" s="1795" t="s">
        <v>544</v>
      </c>
      <c r="CS4" s="1796" t="s">
        <v>532</v>
      </c>
      <c r="CT4" s="2148"/>
      <c r="CU4" s="2154"/>
      <c r="CV4" s="2148"/>
      <c r="CW4" s="2148"/>
      <c r="CX4" s="1795" t="s">
        <v>542</v>
      </c>
      <c r="CY4" s="1795" t="s">
        <v>544</v>
      </c>
      <c r="CZ4" s="1796" t="s">
        <v>532</v>
      </c>
      <c r="DA4" s="2148"/>
      <c r="DB4" s="2154"/>
      <c r="DC4" s="2148"/>
      <c r="DD4" s="2148"/>
      <c r="DE4" s="1795" t="s">
        <v>542</v>
      </c>
      <c r="DF4" s="1795" t="s">
        <v>544</v>
      </c>
      <c r="DG4" s="1796" t="s">
        <v>532</v>
      </c>
      <c r="DH4" s="2148"/>
      <c r="DI4" s="2154"/>
      <c r="DJ4" s="2148"/>
      <c r="DK4" s="2148"/>
      <c r="DL4" s="1795" t="s">
        <v>542</v>
      </c>
      <c r="DM4" s="1795" t="s">
        <v>544</v>
      </c>
      <c r="DN4" s="1796" t="s">
        <v>532</v>
      </c>
      <c r="DO4" s="2148"/>
      <c r="DP4" s="2154"/>
      <c r="DQ4" s="2148"/>
      <c r="DR4" s="2148"/>
      <c r="DS4" s="1795" t="s">
        <v>542</v>
      </c>
      <c r="DT4" s="1795" t="s">
        <v>544</v>
      </c>
      <c r="DU4" s="1796" t="s">
        <v>532</v>
      </c>
      <c r="DV4" s="2148"/>
      <c r="DW4" s="2154"/>
      <c r="DX4" s="2148"/>
      <c r="DY4" s="2148"/>
      <c r="DZ4" s="1795" t="s">
        <v>542</v>
      </c>
      <c r="EA4" s="1795" t="s">
        <v>544</v>
      </c>
      <c r="EB4" s="1796" t="s">
        <v>532</v>
      </c>
      <c r="EC4" s="2148"/>
      <c r="ED4" s="2154"/>
      <c r="EE4" s="2148"/>
      <c r="EF4" s="2148"/>
      <c r="EG4" s="1795" t="s">
        <v>542</v>
      </c>
      <c r="EH4" s="1795" t="s">
        <v>544</v>
      </c>
      <c r="EI4" s="1796" t="s">
        <v>532</v>
      </c>
      <c r="EJ4" s="2148"/>
      <c r="EK4" s="2154"/>
      <c r="EL4" s="2148"/>
      <c r="EM4" s="2148"/>
      <c r="EN4" s="1795" t="s">
        <v>542</v>
      </c>
      <c r="EO4" s="1795" t="s">
        <v>544</v>
      </c>
      <c r="EP4" s="1796" t="s">
        <v>532</v>
      </c>
      <c r="EQ4" s="2148"/>
      <c r="ER4" s="2154"/>
      <c r="ES4" s="2148"/>
      <c r="ET4" s="2148"/>
      <c r="EU4" s="1795" t="s">
        <v>542</v>
      </c>
      <c r="EV4" s="1795" t="s">
        <v>544</v>
      </c>
      <c r="EW4" s="1796" t="s">
        <v>532</v>
      </c>
      <c r="EX4" s="2148"/>
      <c r="EY4" s="2154"/>
      <c r="EZ4" s="2148"/>
      <c r="FA4" s="2148"/>
      <c r="FB4" s="1795" t="s">
        <v>542</v>
      </c>
      <c r="FC4" s="1795" t="s">
        <v>544</v>
      </c>
      <c r="FD4" s="1796" t="s">
        <v>532</v>
      </c>
      <c r="FE4" s="2148"/>
      <c r="FF4" s="2154"/>
      <c r="FG4" s="2148"/>
      <c r="FH4" s="2148"/>
      <c r="FI4" s="1795" t="s">
        <v>542</v>
      </c>
      <c r="FJ4" s="1795" t="s">
        <v>544</v>
      </c>
      <c r="FK4" s="1796" t="s">
        <v>532</v>
      </c>
      <c r="FL4" s="2148"/>
      <c r="FM4" s="2154"/>
    </row>
    <row r="5" spans="1:169" ht="16.5">
      <c r="A5" s="1787" t="s">
        <v>550</v>
      </c>
      <c r="B5" s="1794">
        <v>2</v>
      </c>
      <c r="C5" s="1817">
        <v>898</v>
      </c>
      <c r="D5" s="1794">
        <v>240</v>
      </c>
      <c r="E5" s="1794">
        <v>80</v>
      </c>
      <c r="F5" s="1794">
        <v>566</v>
      </c>
      <c r="G5" s="1794">
        <v>14</v>
      </c>
      <c r="H5" s="1740">
        <f>C5</f>
        <v>898</v>
      </c>
      <c r="I5" s="1794"/>
      <c r="J5" s="1794"/>
      <c r="K5" s="1794"/>
      <c r="L5" s="1794"/>
      <c r="M5" s="1794"/>
      <c r="N5" s="1794"/>
      <c r="O5" s="1740"/>
      <c r="P5" s="1794"/>
      <c r="Q5" s="1794"/>
      <c r="R5" s="1794"/>
      <c r="S5" s="1794"/>
      <c r="T5" s="1794"/>
      <c r="U5" s="1794"/>
      <c r="V5" s="1740"/>
      <c r="W5" s="1794"/>
      <c r="X5" s="1794"/>
      <c r="Y5" s="1794"/>
      <c r="Z5" s="1794"/>
      <c r="AA5" s="1794"/>
      <c r="AB5" s="1794"/>
      <c r="AC5" s="1740"/>
      <c r="AD5" s="1794"/>
      <c r="AE5" s="1794"/>
      <c r="AF5" s="1794"/>
      <c r="AG5" s="1794"/>
      <c r="AH5" s="1794"/>
      <c r="AI5" s="1794"/>
      <c r="AJ5" s="1740"/>
      <c r="AK5" s="1794"/>
      <c r="AL5" s="1794">
        <v>219</v>
      </c>
      <c r="AM5" s="1794">
        <v>143</v>
      </c>
      <c r="AN5" s="1794">
        <v>20</v>
      </c>
      <c r="AO5" s="1794">
        <v>45</v>
      </c>
      <c r="AP5" s="1794">
        <v>11</v>
      </c>
      <c r="AQ5" s="1740">
        <f>AL5</f>
        <v>219</v>
      </c>
      <c r="AR5" s="1794"/>
      <c r="AS5" s="1794"/>
      <c r="AT5" s="1794"/>
      <c r="AU5" s="1794"/>
      <c r="AV5" s="1794"/>
      <c r="AW5" s="1794"/>
      <c r="AX5" s="1740">
        <f>AS5</f>
        <v>0</v>
      </c>
      <c r="AY5" s="1794"/>
      <c r="AZ5" s="1794"/>
      <c r="BA5" s="1794"/>
      <c r="BB5" s="1794"/>
      <c r="BC5" s="1794"/>
      <c r="BD5" s="1794"/>
      <c r="BE5" s="1740">
        <f>AZ5</f>
        <v>0</v>
      </c>
      <c r="BF5" s="1794"/>
      <c r="BG5" s="1794"/>
      <c r="BH5" s="1794"/>
      <c r="BI5" s="1794"/>
      <c r="BJ5" s="1794"/>
      <c r="BK5" s="1794"/>
      <c r="BL5" s="1740">
        <f>BG5</f>
        <v>0</v>
      </c>
      <c r="BM5" s="1794"/>
      <c r="BN5" s="1794"/>
      <c r="BO5" s="1794"/>
      <c r="BP5" s="1794"/>
      <c r="BQ5" s="1794"/>
      <c r="BR5" s="1794"/>
      <c r="BS5" s="1740">
        <f>BN5</f>
        <v>0</v>
      </c>
      <c r="BT5" s="1794"/>
      <c r="BU5" s="1794"/>
      <c r="BV5" s="1794"/>
      <c r="BW5" s="1794"/>
      <c r="BX5" s="1794"/>
      <c r="BY5" s="1794"/>
      <c r="BZ5" s="1740">
        <f>BU5</f>
        <v>0</v>
      </c>
      <c r="CA5" s="1794"/>
      <c r="CB5" s="1794"/>
      <c r="CC5" s="1794"/>
      <c r="CD5" s="1794"/>
      <c r="CE5" s="1794"/>
      <c r="CF5" s="1794"/>
      <c r="CG5" s="1740">
        <f>CB5</f>
        <v>0</v>
      </c>
      <c r="CH5" s="1794"/>
      <c r="CI5" s="1794"/>
      <c r="CJ5" s="1794"/>
      <c r="CK5" s="1794"/>
      <c r="CL5" s="1794"/>
      <c r="CM5" s="1794"/>
      <c r="CN5" s="1740">
        <f>CI5</f>
        <v>0</v>
      </c>
      <c r="CO5" s="1794">
        <v>72</v>
      </c>
      <c r="CP5" s="1794">
        <v>711</v>
      </c>
      <c r="CQ5" s="1794">
        <v>259</v>
      </c>
      <c r="CR5" s="1794"/>
      <c r="CS5" s="1794">
        <v>29</v>
      </c>
      <c r="CT5" s="1794">
        <v>86</v>
      </c>
      <c r="CU5" s="1740">
        <f>CP5</f>
        <v>711</v>
      </c>
      <c r="CV5" s="1794">
        <v>19</v>
      </c>
      <c r="CW5" s="1794">
        <v>280</v>
      </c>
      <c r="CX5" s="1794">
        <v>76</v>
      </c>
      <c r="CY5" s="1794"/>
      <c r="CZ5" s="1794">
        <v>202</v>
      </c>
      <c r="DA5" s="1794">
        <v>21</v>
      </c>
      <c r="DB5" s="1740">
        <f>CW5</f>
        <v>280</v>
      </c>
      <c r="DC5" s="1794"/>
      <c r="DD5" s="1794"/>
      <c r="DE5" s="1794"/>
      <c r="DF5" s="1794"/>
      <c r="DG5" s="1794"/>
      <c r="DH5" s="1794"/>
      <c r="DI5" s="1740">
        <f>DD5</f>
        <v>0</v>
      </c>
      <c r="DJ5" s="1794"/>
      <c r="DK5" s="1794"/>
      <c r="DL5" s="1794"/>
      <c r="DM5" s="1794"/>
      <c r="DN5" s="1794"/>
      <c r="DO5" s="1794"/>
      <c r="DP5" s="1740">
        <f>DK5</f>
        <v>0</v>
      </c>
      <c r="DQ5" s="1794"/>
      <c r="DR5" s="1794"/>
      <c r="DS5" s="1794"/>
      <c r="DT5" s="1794"/>
      <c r="DU5" s="1794"/>
      <c r="DV5" s="1794"/>
      <c r="DW5" s="1740">
        <f>DR5</f>
        <v>0</v>
      </c>
      <c r="DX5" s="1794"/>
      <c r="DY5" s="1794"/>
      <c r="DZ5" s="1794"/>
      <c r="EA5" s="1794"/>
      <c r="EB5" s="1794"/>
      <c r="EC5" s="1794"/>
      <c r="ED5" s="1740"/>
      <c r="EE5" s="1794"/>
      <c r="EF5" s="1794">
        <v>971</v>
      </c>
      <c r="EG5" s="1794">
        <v>381</v>
      </c>
      <c r="EH5" s="1794">
        <v>19</v>
      </c>
      <c r="EI5" s="1794">
        <v>571</v>
      </c>
      <c r="EJ5" s="1794"/>
      <c r="EK5" s="1740">
        <f>EF5</f>
        <v>971</v>
      </c>
      <c r="EL5" s="1794"/>
      <c r="EM5" s="1794"/>
      <c r="EN5" s="1794"/>
      <c r="EO5" s="1794"/>
      <c r="EP5" s="1794"/>
      <c r="EQ5" s="1794"/>
      <c r="ER5" s="1740">
        <f>EM5</f>
        <v>0</v>
      </c>
      <c r="ES5" s="1794"/>
      <c r="ET5" s="1794"/>
      <c r="EU5" s="1794"/>
      <c r="EV5" s="1794"/>
      <c r="EW5" s="1794"/>
      <c r="EX5" s="1794"/>
      <c r="EY5" s="1740">
        <f>ET5</f>
        <v>0</v>
      </c>
      <c r="EZ5" s="1794"/>
      <c r="FA5" s="1794"/>
      <c r="FB5" s="1794"/>
      <c r="FC5" s="1794"/>
      <c r="FD5" s="1794"/>
      <c r="FE5" s="1794"/>
      <c r="FF5" s="1740">
        <f>FA5</f>
        <v>0</v>
      </c>
      <c r="FG5" s="1794"/>
      <c r="FH5" s="1794">
        <v>28225</v>
      </c>
      <c r="FI5" s="1794">
        <v>25511</v>
      </c>
      <c r="FJ5" s="1794">
        <v>1312</v>
      </c>
      <c r="FK5" s="1794">
        <v>452</v>
      </c>
      <c r="FL5" s="1794">
        <v>950</v>
      </c>
      <c r="FM5" s="1740">
        <f>FH5</f>
        <v>28225</v>
      </c>
    </row>
    <row r="6" spans="1:169" ht="16.5">
      <c r="A6" s="13" t="s">
        <v>564</v>
      </c>
      <c r="B6" s="1785"/>
      <c r="C6" s="13">
        <v>14</v>
      </c>
      <c r="D6" s="1784"/>
      <c r="E6" s="1786">
        <v>7</v>
      </c>
      <c r="F6" s="1785">
        <v>6</v>
      </c>
      <c r="G6" s="1785">
        <v>1</v>
      </c>
      <c r="H6" s="1740">
        <f aca="true" t="shared" si="0" ref="H6:H13">C6</f>
        <v>14</v>
      </c>
      <c r="I6" s="1785"/>
      <c r="J6" s="1786">
        <v>1</v>
      </c>
      <c r="K6" s="1784"/>
      <c r="L6" s="1786"/>
      <c r="M6" s="1785">
        <v>1</v>
      </c>
      <c r="N6" s="1785"/>
      <c r="O6" s="1789">
        <f>J6</f>
        <v>1</v>
      </c>
      <c r="P6" s="1785"/>
      <c r="Q6" s="1786">
        <v>10</v>
      </c>
      <c r="R6" s="1784"/>
      <c r="S6" s="1786">
        <v>5</v>
      </c>
      <c r="T6" s="1785">
        <v>5</v>
      </c>
      <c r="U6" s="1785"/>
      <c r="V6" s="1789">
        <v>10</v>
      </c>
      <c r="W6" s="1785"/>
      <c r="X6" s="1786">
        <v>16</v>
      </c>
      <c r="Y6" s="1784">
        <v>4</v>
      </c>
      <c r="Z6" s="1786"/>
      <c r="AA6" s="1785">
        <v>11</v>
      </c>
      <c r="AB6" s="1785">
        <v>1</v>
      </c>
      <c r="AC6" s="1789">
        <f aca="true" t="shared" si="1" ref="AC6:AC11">X6</f>
        <v>16</v>
      </c>
      <c r="AD6" s="1785"/>
      <c r="AE6" s="1786">
        <v>2</v>
      </c>
      <c r="AF6" s="1784"/>
      <c r="AG6" s="1786">
        <v>1</v>
      </c>
      <c r="AH6" s="1785">
        <v>1</v>
      </c>
      <c r="AI6" s="1785"/>
      <c r="AJ6" s="1789">
        <f aca="true" t="shared" si="2" ref="AJ6:AJ11">AE6</f>
        <v>2</v>
      </c>
      <c r="AK6" s="1785"/>
      <c r="AL6" s="1786">
        <v>3</v>
      </c>
      <c r="AM6" s="1784">
        <v>1</v>
      </c>
      <c r="AN6" s="1786">
        <v>1</v>
      </c>
      <c r="AO6" s="1785">
        <v>1</v>
      </c>
      <c r="AP6" s="1785"/>
      <c r="AQ6" s="1740">
        <f aca="true" t="shared" si="3" ref="AQ6:AQ11">AL6</f>
        <v>3</v>
      </c>
      <c r="AR6" s="1785"/>
      <c r="AS6" s="1786">
        <v>3</v>
      </c>
      <c r="AT6" s="1784"/>
      <c r="AU6" s="1786"/>
      <c r="AV6" s="1785">
        <v>3</v>
      </c>
      <c r="AW6" s="1785"/>
      <c r="AX6" s="1740">
        <f aca="true" t="shared" si="4" ref="AX6:AX12">AS6</f>
        <v>3</v>
      </c>
      <c r="AY6" s="1785"/>
      <c r="AZ6" s="1786"/>
      <c r="BA6" s="1784"/>
      <c r="BB6" s="1786"/>
      <c r="BC6" s="1785"/>
      <c r="BD6" s="1785"/>
      <c r="BE6" s="1740">
        <f aca="true" t="shared" si="5" ref="BE6:BE12">AZ6</f>
        <v>0</v>
      </c>
      <c r="BF6" s="1785"/>
      <c r="BG6" s="1786">
        <v>4</v>
      </c>
      <c r="BH6" s="1784">
        <v>2</v>
      </c>
      <c r="BI6" s="1786"/>
      <c r="BJ6" s="1785">
        <v>2</v>
      </c>
      <c r="BK6" s="1785"/>
      <c r="BL6" s="1740">
        <f aca="true" t="shared" si="6" ref="BL6:BL12">BG6</f>
        <v>4</v>
      </c>
      <c r="BM6" s="1785"/>
      <c r="BN6" s="1786">
        <v>3</v>
      </c>
      <c r="BO6" s="1784"/>
      <c r="BP6" s="1786">
        <v>3</v>
      </c>
      <c r="BQ6" s="1785"/>
      <c r="BR6" s="1785"/>
      <c r="BS6" s="1740">
        <f aca="true" t="shared" si="7" ref="BS6:BS12">BN6</f>
        <v>3</v>
      </c>
      <c r="BT6" s="1785"/>
      <c r="BU6" s="1786">
        <v>23</v>
      </c>
      <c r="BV6" s="1784">
        <v>13</v>
      </c>
      <c r="BW6" s="1786"/>
      <c r="BX6" s="1785">
        <v>10</v>
      </c>
      <c r="BY6" s="1785"/>
      <c r="BZ6" s="1740">
        <f aca="true" t="shared" si="8" ref="BZ6:BZ12">BU6</f>
        <v>23</v>
      </c>
      <c r="CA6" s="1785"/>
      <c r="CB6" s="1786">
        <v>11</v>
      </c>
      <c r="CC6" s="1784"/>
      <c r="CD6" s="1786"/>
      <c r="CE6" s="1785">
        <v>10</v>
      </c>
      <c r="CF6" s="1785">
        <v>1</v>
      </c>
      <c r="CG6" s="1740">
        <f aca="true" t="shared" si="9" ref="CG6:CG11">CB6</f>
        <v>11</v>
      </c>
      <c r="CH6" s="1785"/>
      <c r="CI6" s="1786">
        <v>2</v>
      </c>
      <c r="CJ6" s="1784">
        <v>1</v>
      </c>
      <c r="CK6" s="1786"/>
      <c r="CL6" s="1785">
        <v>1</v>
      </c>
      <c r="CM6" s="1785"/>
      <c r="CN6" s="1740">
        <f aca="true" t="shared" si="10" ref="CN6:CN12">CI6</f>
        <v>2</v>
      </c>
      <c r="CO6" s="1785"/>
      <c r="CP6" s="1786">
        <v>4</v>
      </c>
      <c r="CQ6" s="1784">
        <v>1</v>
      </c>
      <c r="CR6" s="1786"/>
      <c r="CS6" s="1785">
        <v>2</v>
      </c>
      <c r="CT6" s="1785">
        <v>1</v>
      </c>
      <c r="CU6" s="1740">
        <f aca="true" t="shared" si="11" ref="CU6:CU12">CP6</f>
        <v>4</v>
      </c>
      <c r="CV6" s="1785">
        <v>1</v>
      </c>
      <c r="CW6" s="1786">
        <v>7</v>
      </c>
      <c r="CX6" s="1784"/>
      <c r="CY6" s="1786"/>
      <c r="CZ6" s="1785">
        <v>6</v>
      </c>
      <c r="DA6" s="1785">
        <v>2</v>
      </c>
      <c r="DB6" s="1740">
        <f aca="true" t="shared" si="12" ref="DB6:DB12">CW6</f>
        <v>7</v>
      </c>
      <c r="DC6" s="1785"/>
      <c r="DD6" s="1786">
        <v>60</v>
      </c>
      <c r="DE6" s="1784">
        <v>8</v>
      </c>
      <c r="DF6" s="1786">
        <v>3</v>
      </c>
      <c r="DG6" s="1785">
        <v>48</v>
      </c>
      <c r="DH6" s="1785">
        <v>1</v>
      </c>
      <c r="DI6" s="1740">
        <f aca="true" t="shared" si="13" ref="DI6:DI12">DD6</f>
        <v>60</v>
      </c>
      <c r="DJ6" s="1785"/>
      <c r="DK6" s="1786">
        <v>17</v>
      </c>
      <c r="DL6" s="1784">
        <v>2</v>
      </c>
      <c r="DM6" s="1786"/>
      <c r="DN6" s="1785">
        <v>15</v>
      </c>
      <c r="DO6" s="1785"/>
      <c r="DP6" s="1740">
        <f aca="true" t="shared" si="14" ref="DP6:DP12">DK6</f>
        <v>17</v>
      </c>
      <c r="DQ6" s="1785"/>
      <c r="DR6" s="1786">
        <v>11</v>
      </c>
      <c r="DS6" s="1784"/>
      <c r="DT6" s="1786">
        <v>3</v>
      </c>
      <c r="DU6" s="1785">
        <v>8</v>
      </c>
      <c r="DV6" s="1785"/>
      <c r="DW6" s="1740">
        <f aca="true" t="shared" si="15" ref="DW6:DW12">DR6</f>
        <v>11</v>
      </c>
      <c r="DX6" s="1785"/>
      <c r="DY6" s="1786"/>
      <c r="DZ6" s="1784"/>
      <c r="EA6" s="1786"/>
      <c r="EB6" s="1785"/>
      <c r="EC6" s="1785"/>
      <c r="ED6" s="1789"/>
      <c r="EE6" s="1785"/>
      <c r="EF6" s="1786">
        <v>22</v>
      </c>
      <c r="EG6" s="1784">
        <v>3</v>
      </c>
      <c r="EH6" s="1786">
        <v>1</v>
      </c>
      <c r="EI6" s="1785">
        <v>18</v>
      </c>
      <c r="EJ6" s="1785"/>
      <c r="EK6" s="1740">
        <f aca="true" t="shared" si="16" ref="EK6:EK12">EF6</f>
        <v>22</v>
      </c>
      <c r="EL6" s="1785">
        <v>1</v>
      </c>
      <c r="EM6" s="1786">
        <v>7</v>
      </c>
      <c r="EN6" s="1784">
        <v>1</v>
      </c>
      <c r="EO6" s="1786"/>
      <c r="EP6" s="1785">
        <v>7</v>
      </c>
      <c r="EQ6" s="1785"/>
      <c r="ER6" s="1740">
        <f aca="true" t="shared" si="17" ref="ER6:ER12">EM6</f>
        <v>7</v>
      </c>
      <c r="ES6" s="1785"/>
      <c r="ET6" s="1786">
        <v>6</v>
      </c>
      <c r="EU6" s="1784">
        <v>1</v>
      </c>
      <c r="EV6" s="1786"/>
      <c r="EW6" s="1785">
        <v>5</v>
      </c>
      <c r="EX6" s="1785"/>
      <c r="EY6" s="1740">
        <f aca="true" t="shared" si="18" ref="EY6:EY12">ET6</f>
        <v>6</v>
      </c>
      <c r="EZ6" s="1785"/>
      <c r="FA6" s="1786">
        <v>1</v>
      </c>
      <c r="FB6" s="1784">
        <v>1</v>
      </c>
      <c r="FC6" s="1786"/>
      <c r="FD6" s="1785"/>
      <c r="FE6" s="1785"/>
      <c r="FF6" s="1740">
        <f aca="true" t="shared" si="19" ref="FF6:FF12">FA6</f>
        <v>1</v>
      </c>
      <c r="FG6" s="1785"/>
      <c r="FH6" s="1786">
        <v>870</v>
      </c>
      <c r="FI6" s="1784">
        <v>703</v>
      </c>
      <c r="FJ6" s="1786">
        <v>97</v>
      </c>
      <c r="FK6" s="1785">
        <v>25</v>
      </c>
      <c r="FL6" s="1785">
        <v>45</v>
      </c>
      <c r="FM6" s="1740">
        <f aca="true" t="shared" si="20" ref="FM6:FM12">FH6</f>
        <v>870</v>
      </c>
    </row>
    <row r="7" spans="1:169" ht="16.5">
      <c r="A7" s="13" t="s">
        <v>563</v>
      </c>
      <c r="B7" s="1784"/>
      <c r="C7" s="1818">
        <v>115</v>
      </c>
      <c r="D7" s="1784">
        <v>59</v>
      </c>
      <c r="E7" s="1785">
        <v>18</v>
      </c>
      <c r="F7" s="1784">
        <v>37</v>
      </c>
      <c r="G7" s="1785">
        <v>1</v>
      </c>
      <c r="H7" s="1740">
        <f t="shared" si="0"/>
        <v>115</v>
      </c>
      <c r="I7" s="1784"/>
      <c r="J7" s="1785">
        <v>19</v>
      </c>
      <c r="K7" s="1784">
        <v>11</v>
      </c>
      <c r="L7" s="1785"/>
      <c r="M7" s="1784">
        <v>8</v>
      </c>
      <c r="N7" s="1785"/>
      <c r="O7" s="1789">
        <f aca="true" t="shared" si="21" ref="O7:O12">J7</f>
        <v>19</v>
      </c>
      <c r="P7" s="1784"/>
      <c r="Q7" s="1785">
        <v>137</v>
      </c>
      <c r="R7" s="1784">
        <v>8</v>
      </c>
      <c r="S7" s="1785">
        <v>108</v>
      </c>
      <c r="T7" s="1784">
        <v>12</v>
      </c>
      <c r="U7" s="1785">
        <v>9</v>
      </c>
      <c r="V7" s="1789">
        <v>137</v>
      </c>
      <c r="W7" s="1784"/>
      <c r="X7" s="1785">
        <v>37</v>
      </c>
      <c r="Y7" s="1784">
        <v>18</v>
      </c>
      <c r="Z7" s="1785"/>
      <c r="AA7" s="1784">
        <v>16</v>
      </c>
      <c r="AB7" s="1785">
        <v>3</v>
      </c>
      <c r="AC7" s="1789">
        <f t="shared" si="1"/>
        <v>37</v>
      </c>
      <c r="AD7" s="1784"/>
      <c r="AE7" s="1785">
        <v>17</v>
      </c>
      <c r="AF7" s="1784">
        <v>6</v>
      </c>
      <c r="AG7" s="1785">
        <v>6</v>
      </c>
      <c r="AH7" s="1784">
        <v>5</v>
      </c>
      <c r="AI7" s="1785"/>
      <c r="AJ7" s="1789">
        <f t="shared" si="2"/>
        <v>17</v>
      </c>
      <c r="AK7" s="1784"/>
      <c r="AL7" s="1785">
        <v>13</v>
      </c>
      <c r="AM7" s="1784">
        <v>9</v>
      </c>
      <c r="AN7" s="1785">
        <v>3</v>
      </c>
      <c r="AO7" s="1784">
        <v>1</v>
      </c>
      <c r="AP7" s="1785"/>
      <c r="AQ7" s="1740">
        <f t="shared" si="3"/>
        <v>13</v>
      </c>
      <c r="AR7" s="1784"/>
      <c r="AS7" s="1785">
        <v>2</v>
      </c>
      <c r="AT7" s="1784">
        <v>2</v>
      </c>
      <c r="AU7" s="1785"/>
      <c r="AV7" s="1784"/>
      <c r="AW7" s="1785"/>
      <c r="AX7" s="1740">
        <f t="shared" si="4"/>
        <v>2</v>
      </c>
      <c r="AY7" s="1784"/>
      <c r="AZ7" s="1785">
        <v>2</v>
      </c>
      <c r="BA7" s="1784"/>
      <c r="BB7" s="1785"/>
      <c r="BC7" s="1784">
        <v>1</v>
      </c>
      <c r="BD7" s="1785"/>
      <c r="BE7" s="1740">
        <f t="shared" si="5"/>
        <v>2</v>
      </c>
      <c r="BF7" s="1784"/>
      <c r="BG7" s="1785">
        <v>5</v>
      </c>
      <c r="BH7" s="1784">
        <v>2</v>
      </c>
      <c r="BI7" s="1785">
        <v>2</v>
      </c>
      <c r="BJ7" s="1784">
        <v>1</v>
      </c>
      <c r="BK7" s="1785"/>
      <c r="BL7" s="1740">
        <f t="shared" si="6"/>
        <v>5</v>
      </c>
      <c r="BM7" s="1784"/>
      <c r="BN7" s="1785">
        <v>15</v>
      </c>
      <c r="BO7" s="1784">
        <v>9</v>
      </c>
      <c r="BP7" s="1785">
        <v>4</v>
      </c>
      <c r="BQ7" s="1784">
        <v>2</v>
      </c>
      <c r="BR7" s="1785"/>
      <c r="BS7" s="1740">
        <f t="shared" si="7"/>
        <v>15</v>
      </c>
      <c r="BT7" s="1784">
        <v>1</v>
      </c>
      <c r="BU7" s="1785">
        <v>30</v>
      </c>
      <c r="BV7" s="1784">
        <v>19</v>
      </c>
      <c r="BW7" s="1785"/>
      <c r="BX7" s="1784">
        <v>10</v>
      </c>
      <c r="BY7" s="1785">
        <v>2</v>
      </c>
      <c r="BZ7" s="1740">
        <f t="shared" si="8"/>
        <v>30</v>
      </c>
      <c r="CA7" s="1784"/>
      <c r="CB7" s="1785">
        <v>36</v>
      </c>
      <c r="CC7" s="1784">
        <v>11</v>
      </c>
      <c r="CD7" s="1785">
        <v>1</v>
      </c>
      <c r="CE7" s="1784">
        <v>23</v>
      </c>
      <c r="CF7" s="1785">
        <v>1</v>
      </c>
      <c r="CG7" s="1740">
        <f t="shared" si="9"/>
        <v>36</v>
      </c>
      <c r="CH7" s="1784"/>
      <c r="CI7" s="1785">
        <v>5</v>
      </c>
      <c r="CJ7" s="1784">
        <v>1</v>
      </c>
      <c r="CK7" s="1785">
        <v>1</v>
      </c>
      <c r="CL7" s="1784">
        <v>3</v>
      </c>
      <c r="CM7" s="1785"/>
      <c r="CN7" s="1740">
        <f t="shared" si="10"/>
        <v>5</v>
      </c>
      <c r="CO7" s="1784">
        <v>3</v>
      </c>
      <c r="CP7" s="1785">
        <v>21</v>
      </c>
      <c r="CQ7" s="1784">
        <v>12</v>
      </c>
      <c r="CR7" s="1785"/>
      <c r="CS7" s="1784">
        <v>8</v>
      </c>
      <c r="CT7" s="1785">
        <v>4</v>
      </c>
      <c r="CU7" s="1740">
        <f t="shared" si="11"/>
        <v>21</v>
      </c>
      <c r="CV7" s="1784"/>
      <c r="CW7" s="1785">
        <v>7</v>
      </c>
      <c r="CX7" s="1784">
        <v>1</v>
      </c>
      <c r="CY7" s="1785"/>
      <c r="CZ7" s="1784">
        <v>5</v>
      </c>
      <c r="DA7" s="1785">
        <v>1</v>
      </c>
      <c r="DB7" s="1740">
        <f t="shared" si="12"/>
        <v>7</v>
      </c>
      <c r="DC7" s="1784"/>
      <c r="DD7" s="1785">
        <v>30</v>
      </c>
      <c r="DE7" s="1784">
        <v>15</v>
      </c>
      <c r="DF7" s="1785">
        <v>6</v>
      </c>
      <c r="DG7" s="1784">
        <v>9</v>
      </c>
      <c r="DH7" s="1785"/>
      <c r="DI7" s="1740">
        <f t="shared" si="13"/>
        <v>30</v>
      </c>
      <c r="DJ7" s="1784">
        <v>5</v>
      </c>
      <c r="DK7" s="1785">
        <v>84</v>
      </c>
      <c r="DL7" s="1784">
        <v>34</v>
      </c>
      <c r="DM7" s="1785"/>
      <c r="DN7" s="1784">
        <v>43</v>
      </c>
      <c r="DO7" s="1785">
        <v>12</v>
      </c>
      <c r="DP7" s="1740">
        <f t="shared" si="14"/>
        <v>84</v>
      </c>
      <c r="DQ7" s="1784"/>
      <c r="DR7" s="1785">
        <v>16</v>
      </c>
      <c r="DS7" s="1784"/>
      <c r="DT7" s="1785"/>
      <c r="DU7" s="1784">
        <v>15</v>
      </c>
      <c r="DV7" s="1785">
        <v>1</v>
      </c>
      <c r="DW7" s="1740">
        <f t="shared" si="15"/>
        <v>16</v>
      </c>
      <c r="DX7" s="1784"/>
      <c r="DY7" s="1785"/>
      <c r="DZ7" s="1784"/>
      <c r="EA7" s="1785"/>
      <c r="EB7" s="1784"/>
      <c r="EC7" s="1785"/>
      <c r="ED7" s="1789"/>
      <c r="EE7" s="1784"/>
      <c r="EF7" s="1785">
        <v>54</v>
      </c>
      <c r="EG7" s="1784">
        <v>30</v>
      </c>
      <c r="EH7" s="1785">
        <v>2</v>
      </c>
      <c r="EI7" s="1784">
        <v>22</v>
      </c>
      <c r="EJ7" s="1785"/>
      <c r="EK7" s="1740">
        <f t="shared" si="16"/>
        <v>54</v>
      </c>
      <c r="EL7" s="1784"/>
      <c r="EM7" s="1785"/>
      <c r="EN7" s="1784"/>
      <c r="EO7" s="1785"/>
      <c r="EP7" s="1784"/>
      <c r="EQ7" s="1785"/>
      <c r="ER7" s="1740">
        <f t="shared" si="17"/>
        <v>0</v>
      </c>
      <c r="ES7" s="1784"/>
      <c r="ET7" s="1785">
        <v>24</v>
      </c>
      <c r="EU7" s="1784">
        <v>15</v>
      </c>
      <c r="EV7" s="1785"/>
      <c r="EW7" s="1784">
        <v>8</v>
      </c>
      <c r="EX7" s="1785">
        <v>1</v>
      </c>
      <c r="EY7" s="1740">
        <f t="shared" si="18"/>
        <v>24</v>
      </c>
      <c r="EZ7" s="1784"/>
      <c r="FA7" s="1785">
        <v>213</v>
      </c>
      <c r="FB7" s="1784">
        <v>151</v>
      </c>
      <c r="FC7" s="1785">
        <v>1</v>
      </c>
      <c r="FD7" s="1784">
        <v>60</v>
      </c>
      <c r="FE7" s="1785"/>
      <c r="FF7" s="1740">
        <f t="shared" si="19"/>
        <v>213</v>
      </c>
      <c r="FG7" s="1784"/>
      <c r="FH7" s="1785">
        <v>11849</v>
      </c>
      <c r="FI7" s="1784">
        <v>10756</v>
      </c>
      <c r="FJ7" s="1785">
        <v>539</v>
      </c>
      <c r="FK7" s="1784">
        <v>173</v>
      </c>
      <c r="FL7" s="1785">
        <v>381</v>
      </c>
      <c r="FM7" s="1740">
        <f t="shared" si="20"/>
        <v>11849</v>
      </c>
    </row>
    <row r="8" spans="1:169" ht="16.5">
      <c r="A8" s="13" t="s">
        <v>562</v>
      </c>
      <c r="B8" s="1785"/>
      <c r="C8" s="13">
        <v>85</v>
      </c>
      <c r="D8" s="1784">
        <v>55</v>
      </c>
      <c r="E8" s="1785">
        <v>7</v>
      </c>
      <c r="F8" s="1784">
        <v>23</v>
      </c>
      <c r="G8" s="1785"/>
      <c r="H8" s="1740">
        <f t="shared" si="0"/>
        <v>85</v>
      </c>
      <c r="I8" s="1785"/>
      <c r="J8" s="1786">
        <v>3</v>
      </c>
      <c r="K8" s="1784">
        <v>1</v>
      </c>
      <c r="L8" s="1785"/>
      <c r="M8" s="1784">
        <v>2</v>
      </c>
      <c r="N8" s="1785"/>
      <c r="O8" s="1789">
        <f t="shared" si="21"/>
        <v>3</v>
      </c>
      <c r="P8" s="1785"/>
      <c r="Q8" s="1786">
        <v>28</v>
      </c>
      <c r="R8" s="1784">
        <v>5</v>
      </c>
      <c r="S8" s="1785">
        <v>19</v>
      </c>
      <c r="T8" s="1784">
        <v>3</v>
      </c>
      <c r="U8" s="1785">
        <v>1</v>
      </c>
      <c r="V8" s="1789">
        <v>28</v>
      </c>
      <c r="W8" s="1785"/>
      <c r="X8" s="1786">
        <v>36</v>
      </c>
      <c r="Y8" s="1784">
        <v>16</v>
      </c>
      <c r="Z8" s="1785"/>
      <c r="AA8" s="1784">
        <v>18</v>
      </c>
      <c r="AB8" s="1785">
        <v>2</v>
      </c>
      <c r="AC8" s="1789">
        <f t="shared" si="1"/>
        <v>36</v>
      </c>
      <c r="AD8" s="1785"/>
      <c r="AE8" s="1786">
        <v>10</v>
      </c>
      <c r="AF8" s="1784">
        <v>6</v>
      </c>
      <c r="AG8" s="1785">
        <v>1</v>
      </c>
      <c r="AH8" s="1784">
        <v>3</v>
      </c>
      <c r="AI8" s="1785"/>
      <c r="AJ8" s="1789">
        <f t="shared" si="2"/>
        <v>10</v>
      </c>
      <c r="AK8" s="1785"/>
      <c r="AL8" s="1786">
        <v>20</v>
      </c>
      <c r="AM8" s="1784">
        <v>19</v>
      </c>
      <c r="AN8" s="1785"/>
      <c r="AO8" s="1784"/>
      <c r="AP8" s="1785">
        <v>1</v>
      </c>
      <c r="AQ8" s="1740">
        <f t="shared" si="3"/>
        <v>20</v>
      </c>
      <c r="AR8" s="1785"/>
      <c r="AS8" s="1786">
        <v>10</v>
      </c>
      <c r="AT8" s="1784">
        <v>7</v>
      </c>
      <c r="AU8" s="1785">
        <v>1</v>
      </c>
      <c r="AV8" s="1784">
        <v>2</v>
      </c>
      <c r="AW8" s="1785"/>
      <c r="AX8" s="1740">
        <f t="shared" si="4"/>
        <v>10</v>
      </c>
      <c r="AY8" s="1785"/>
      <c r="AZ8" s="1786">
        <v>6</v>
      </c>
      <c r="BA8" s="1784">
        <v>4</v>
      </c>
      <c r="BB8" s="1785"/>
      <c r="BC8" s="1784">
        <v>2</v>
      </c>
      <c r="BD8" s="1785"/>
      <c r="BE8" s="1740">
        <f t="shared" si="5"/>
        <v>6</v>
      </c>
      <c r="BF8" s="1785"/>
      <c r="BG8" s="1786">
        <v>35</v>
      </c>
      <c r="BH8" s="1784">
        <v>8</v>
      </c>
      <c r="BI8" s="1785">
        <v>5</v>
      </c>
      <c r="BJ8" s="1784">
        <v>22</v>
      </c>
      <c r="BK8" s="1785"/>
      <c r="BL8" s="1740">
        <f t="shared" si="6"/>
        <v>35</v>
      </c>
      <c r="BM8" s="1785"/>
      <c r="BN8" s="1786">
        <v>17</v>
      </c>
      <c r="BO8" s="1784">
        <v>14</v>
      </c>
      <c r="BP8" s="1785">
        <v>2</v>
      </c>
      <c r="BQ8" s="1784">
        <v>1</v>
      </c>
      <c r="BR8" s="1785"/>
      <c r="BS8" s="1740">
        <f t="shared" si="7"/>
        <v>17</v>
      </c>
      <c r="BT8" s="1785"/>
      <c r="BU8" s="1786">
        <v>27</v>
      </c>
      <c r="BV8" s="1784">
        <v>15</v>
      </c>
      <c r="BW8" s="1785"/>
      <c r="BX8" s="1784">
        <v>11</v>
      </c>
      <c r="BY8" s="1785">
        <v>1</v>
      </c>
      <c r="BZ8" s="1740">
        <f t="shared" si="8"/>
        <v>27</v>
      </c>
      <c r="CA8" s="1785"/>
      <c r="CB8" s="1786">
        <v>30</v>
      </c>
      <c r="CC8" s="1784">
        <v>18</v>
      </c>
      <c r="CD8" s="1785">
        <v>2</v>
      </c>
      <c r="CE8" s="1784">
        <v>10</v>
      </c>
      <c r="CF8" s="1785"/>
      <c r="CG8" s="1740">
        <f t="shared" si="9"/>
        <v>30</v>
      </c>
      <c r="CH8" s="1785"/>
      <c r="CI8" s="1786">
        <v>16</v>
      </c>
      <c r="CJ8" s="1784">
        <v>9</v>
      </c>
      <c r="CK8" s="1785"/>
      <c r="CL8" s="1784">
        <v>7</v>
      </c>
      <c r="CM8" s="1785"/>
      <c r="CN8" s="1740">
        <f t="shared" si="10"/>
        <v>16</v>
      </c>
      <c r="CO8" s="1785"/>
      <c r="CP8" s="1786">
        <v>10</v>
      </c>
      <c r="CQ8" s="1784">
        <v>4</v>
      </c>
      <c r="CR8" s="1785"/>
      <c r="CS8" s="1784">
        <v>3</v>
      </c>
      <c r="CT8" s="1785">
        <v>3</v>
      </c>
      <c r="CU8" s="1740">
        <f t="shared" si="11"/>
        <v>10</v>
      </c>
      <c r="CV8" s="1785"/>
      <c r="CW8" s="1786">
        <v>4</v>
      </c>
      <c r="CX8" s="1784"/>
      <c r="CY8" s="1785"/>
      <c r="CZ8" s="1784">
        <v>4</v>
      </c>
      <c r="DA8" s="1785"/>
      <c r="DB8" s="1740">
        <f t="shared" si="12"/>
        <v>4</v>
      </c>
      <c r="DC8" s="1785"/>
      <c r="DD8" s="1786">
        <v>32</v>
      </c>
      <c r="DE8" s="1784">
        <v>20</v>
      </c>
      <c r="DF8" s="1785">
        <v>4</v>
      </c>
      <c r="DG8" s="1784">
        <v>8</v>
      </c>
      <c r="DH8" s="1785"/>
      <c r="DI8" s="1740">
        <f t="shared" si="13"/>
        <v>32</v>
      </c>
      <c r="DJ8" s="1785">
        <v>2</v>
      </c>
      <c r="DK8" s="1786">
        <v>19</v>
      </c>
      <c r="DL8" s="1784">
        <v>16</v>
      </c>
      <c r="DM8" s="1785"/>
      <c r="DN8" s="1784">
        <v>5</v>
      </c>
      <c r="DO8" s="1785"/>
      <c r="DP8" s="1740">
        <f t="shared" si="14"/>
        <v>19</v>
      </c>
      <c r="DQ8" s="1785"/>
      <c r="DR8" s="1786">
        <v>117</v>
      </c>
      <c r="DS8" s="1784">
        <v>113</v>
      </c>
      <c r="DT8" s="1785"/>
      <c r="DU8" s="1784">
        <v>2</v>
      </c>
      <c r="DV8" s="1785">
        <v>2</v>
      </c>
      <c r="DW8" s="1740">
        <f t="shared" si="15"/>
        <v>117</v>
      </c>
      <c r="DX8" s="1785"/>
      <c r="DY8" s="1786"/>
      <c r="DZ8" s="1784"/>
      <c r="EA8" s="1785"/>
      <c r="EB8" s="1784"/>
      <c r="EC8" s="1785"/>
      <c r="ED8" s="1789"/>
      <c r="EE8" s="1785"/>
      <c r="EF8" s="1786">
        <v>433</v>
      </c>
      <c r="EG8" s="1784">
        <v>241</v>
      </c>
      <c r="EH8" s="1785">
        <v>12</v>
      </c>
      <c r="EI8" s="1784">
        <v>180</v>
      </c>
      <c r="EJ8" s="1785"/>
      <c r="EK8" s="1740">
        <f t="shared" si="16"/>
        <v>433</v>
      </c>
      <c r="EL8" s="1785"/>
      <c r="EM8" s="1786">
        <v>2</v>
      </c>
      <c r="EN8" s="1784">
        <v>1</v>
      </c>
      <c r="EO8" s="1785"/>
      <c r="EP8" s="1784">
        <v>1</v>
      </c>
      <c r="EQ8" s="1785"/>
      <c r="ER8" s="1740">
        <f t="shared" si="17"/>
        <v>2</v>
      </c>
      <c r="ES8" s="1785"/>
      <c r="ET8" s="1786">
        <v>2</v>
      </c>
      <c r="EU8" s="1784">
        <v>2</v>
      </c>
      <c r="EV8" s="1785"/>
      <c r="EW8" s="1784"/>
      <c r="EX8" s="1785"/>
      <c r="EY8" s="1740">
        <f t="shared" si="18"/>
        <v>2</v>
      </c>
      <c r="EZ8" s="1785"/>
      <c r="FA8" s="1786">
        <v>64</v>
      </c>
      <c r="FB8" s="1784">
        <v>38</v>
      </c>
      <c r="FC8" s="1785">
        <v>1</v>
      </c>
      <c r="FD8" s="1784">
        <v>24</v>
      </c>
      <c r="FE8" s="1785"/>
      <c r="FF8" s="1740">
        <f t="shared" si="19"/>
        <v>64</v>
      </c>
      <c r="FG8" s="1785"/>
      <c r="FH8" s="1786">
        <v>931</v>
      </c>
      <c r="FI8" s="1784">
        <v>826</v>
      </c>
      <c r="FJ8" s="1785">
        <v>44</v>
      </c>
      <c r="FK8" s="1784">
        <v>19</v>
      </c>
      <c r="FL8" s="1785">
        <v>42</v>
      </c>
      <c r="FM8" s="1740">
        <f t="shared" si="20"/>
        <v>931</v>
      </c>
    </row>
    <row r="9" spans="1:169" ht="16.5">
      <c r="A9" s="13" t="s">
        <v>561</v>
      </c>
      <c r="B9" s="1784"/>
      <c r="C9" s="1818">
        <v>117</v>
      </c>
      <c r="D9" s="1784">
        <v>64</v>
      </c>
      <c r="E9" s="1785">
        <v>17</v>
      </c>
      <c r="F9" s="1784">
        <v>34</v>
      </c>
      <c r="G9" s="1785">
        <v>2</v>
      </c>
      <c r="H9" s="1740">
        <f t="shared" si="0"/>
        <v>117</v>
      </c>
      <c r="I9" s="1784"/>
      <c r="J9" s="1785">
        <v>9</v>
      </c>
      <c r="K9" s="1784">
        <v>5</v>
      </c>
      <c r="L9" s="1785"/>
      <c r="M9" s="1784">
        <v>4</v>
      </c>
      <c r="N9" s="1785"/>
      <c r="O9" s="1789">
        <f t="shared" si="21"/>
        <v>9</v>
      </c>
      <c r="P9" s="1784"/>
      <c r="Q9" s="1785">
        <v>58</v>
      </c>
      <c r="R9" s="1784"/>
      <c r="S9" s="1785">
        <v>39</v>
      </c>
      <c r="T9" s="1784">
        <v>13</v>
      </c>
      <c r="U9" s="1785">
        <v>6</v>
      </c>
      <c r="V9" s="1789">
        <v>58</v>
      </c>
      <c r="W9" s="1784"/>
      <c r="X9" s="1785">
        <v>35</v>
      </c>
      <c r="Y9" s="1784">
        <v>25</v>
      </c>
      <c r="Z9" s="1785"/>
      <c r="AA9" s="1784">
        <v>8</v>
      </c>
      <c r="AB9" s="1785">
        <v>2</v>
      </c>
      <c r="AC9" s="1789">
        <f t="shared" si="1"/>
        <v>35</v>
      </c>
      <c r="AD9" s="1784"/>
      <c r="AE9" s="1785">
        <v>6</v>
      </c>
      <c r="AF9" s="1784">
        <v>5</v>
      </c>
      <c r="AG9" s="1785"/>
      <c r="AH9" s="1784">
        <v>1</v>
      </c>
      <c r="AI9" s="1785"/>
      <c r="AJ9" s="1789">
        <f t="shared" si="2"/>
        <v>6</v>
      </c>
      <c r="AK9" s="1784"/>
      <c r="AL9" s="1785">
        <v>6</v>
      </c>
      <c r="AM9" s="1784">
        <v>3</v>
      </c>
      <c r="AN9" s="1785">
        <v>3</v>
      </c>
      <c r="AO9" s="1784"/>
      <c r="AP9" s="1785"/>
      <c r="AQ9" s="1740">
        <f t="shared" si="3"/>
        <v>6</v>
      </c>
      <c r="AR9" s="1784"/>
      <c r="AS9" s="1785">
        <v>4</v>
      </c>
      <c r="AT9" s="1784"/>
      <c r="AU9" s="1785">
        <v>2</v>
      </c>
      <c r="AV9" s="1784">
        <v>2</v>
      </c>
      <c r="AW9" s="1785"/>
      <c r="AX9" s="1740">
        <f t="shared" si="4"/>
        <v>4</v>
      </c>
      <c r="AY9" s="1784"/>
      <c r="AZ9" s="1785">
        <v>1</v>
      </c>
      <c r="BA9" s="1784">
        <v>1</v>
      </c>
      <c r="BB9" s="1785"/>
      <c r="BC9" s="1784"/>
      <c r="BD9" s="1785"/>
      <c r="BE9" s="1740">
        <f t="shared" si="5"/>
        <v>1</v>
      </c>
      <c r="BF9" s="1784"/>
      <c r="BG9" s="1785">
        <v>13</v>
      </c>
      <c r="BH9" s="1784">
        <v>3</v>
      </c>
      <c r="BI9" s="1785">
        <v>3</v>
      </c>
      <c r="BJ9" s="1784">
        <v>7</v>
      </c>
      <c r="BK9" s="1785"/>
      <c r="BL9" s="1740">
        <f t="shared" si="6"/>
        <v>13</v>
      </c>
      <c r="BM9" s="1784"/>
      <c r="BN9" s="1785">
        <v>11</v>
      </c>
      <c r="BO9" s="1784">
        <v>2</v>
      </c>
      <c r="BP9" s="1785">
        <v>5</v>
      </c>
      <c r="BQ9" s="1784">
        <v>4</v>
      </c>
      <c r="BR9" s="1785"/>
      <c r="BS9" s="1740">
        <f t="shared" si="7"/>
        <v>11</v>
      </c>
      <c r="BT9" s="1784">
        <v>1</v>
      </c>
      <c r="BU9" s="1785">
        <v>52</v>
      </c>
      <c r="BV9" s="1784">
        <v>25</v>
      </c>
      <c r="BW9" s="1785"/>
      <c r="BX9" s="1784">
        <v>24</v>
      </c>
      <c r="BY9" s="1785">
        <v>4</v>
      </c>
      <c r="BZ9" s="1740">
        <f t="shared" si="8"/>
        <v>52</v>
      </c>
      <c r="CA9" s="1784"/>
      <c r="CB9" s="1785">
        <v>57</v>
      </c>
      <c r="CC9" s="1784">
        <v>24</v>
      </c>
      <c r="CD9" s="1785"/>
      <c r="CE9" s="1784">
        <v>33</v>
      </c>
      <c r="CF9" s="1785"/>
      <c r="CG9" s="1740">
        <f t="shared" si="9"/>
        <v>57</v>
      </c>
      <c r="CH9" s="1784"/>
      <c r="CI9" s="1785">
        <v>11</v>
      </c>
      <c r="CJ9" s="1784"/>
      <c r="CK9" s="1785">
        <v>1</v>
      </c>
      <c r="CL9" s="1784">
        <v>10</v>
      </c>
      <c r="CM9" s="1785"/>
      <c r="CN9" s="1740">
        <f t="shared" si="10"/>
        <v>11</v>
      </c>
      <c r="CO9" s="1784">
        <v>1</v>
      </c>
      <c r="CP9" s="1785">
        <v>18</v>
      </c>
      <c r="CQ9" s="1784">
        <v>5</v>
      </c>
      <c r="CR9" s="1785"/>
      <c r="CS9" s="1784">
        <v>12</v>
      </c>
      <c r="CT9" s="1785"/>
      <c r="CU9" s="1740">
        <f t="shared" si="11"/>
        <v>18</v>
      </c>
      <c r="CV9" s="1784">
        <v>2</v>
      </c>
      <c r="CW9" s="1785">
        <v>9</v>
      </c>
      <c r="CX9" s="1784">
        <v>2</v>
      </c>
      <c r="CY9" s="1785"/>
      <c r="CZ9" s="1784">
        <v>9</v>
      </c>
      <c r="DA9" s="1785"/>
      <c r="DB9" s="1740">
        <f t="shared" si="12"/>
        <v>9</v>
      </c>
      <c r="DC9" s="1784"/>
      <c r="DD9" s="1785">
        <v>28</v>
      </c>
      <c r="DE9" s="1784">
        <v>10</v>
      </c>
      <c r="DF9" s="1785">
        <v>3</v>
      </c>
      <c r="DG9" s="1784">
        <v>15</v>
      </c>
      <c r="DH9" s="1785"/>
      <c r="DI9" s="1740">
        <f t="shared" si="13"/>
        <v>28</v>
      </c>
      <c r="DJ9" s="1784">
        <v>2</v>
      </c>
      <c r="DK9" s="1785">
        <v>28</v>
      </c>
      <c r="DL9" s="1784">
        <v>20</v>
      </c>
      <c r="DM9" s="1785"/>
      <c r="DN9" s="1784">
        <v>10</v>
      </c>
      <c r="DO9" s="1785"/>
      <c r="DP9" s="1740">
        <f t="shared" si="14"/>
        <v>28</v>
      </c>
      <c r="DQ9" s="1784"/>
      <c r="DR9" s="1785">
        <v>17</v>
      </c>
      <c r="DS9" s="1784">
        <v>4</v>
      </c>
      <c r="DT9" s="1785">
        <v>3</v>
      </c>
      <c r="DU9" s="1784">
        <v>10</v>
      </c>
      <c r="DV9" s="1785"/>
      <c r="DW9" s="1740">
        <f t="shared" si="15"/>
        <v>17</v>
      </c>
      <c r="DX9" s="1784"/>
      <c r="DY9" s="1785"/>
      <c r="DZ9" s="1784"/>
      <c r="EA9" s="1785"/>
      <c r="EB9" s="1784"/>
      <c r="EC9" s="1785"/>
      <c r="ED9" s="1789"/>
      <c r="EE9" s="1784"/>
      <c r="EF9" s="1785">
        <v>71</v>
      </c>
      <c r="EG9" s="1784">
        <v>22</v>
      </c>
      <c r="EH9" s="1785">
        <v>1</v>
      </c>
      <c r="EI9" s="1784">
        <v>48</v>
      </c>
      <c r="EJ9" s="1785"/>
      <c r="EK9" s="1740">
        <f t="shared" si="16"/>
        <v>71</v>
      </c>
      <c r="EL9" s="1784"/>
      <c r="EM9" s="1785">
        <v>2</v>
      </c>
      <c r="EN9" s="1784">
        <v>2</v>
      </c>
      <c r="EO9" s="1785"/>
      <c r="EP9" s="1784"/>
      <c r="EQ9" s="1785"/>
      <c r="ER9" s="1740">
        <f t="shared" si="17"/>
        <v>2</v>
      </c>
      <c r="ES9" s="1784"/>
      <c r="ET9" s="1785">
        <v>12</v>
      </c>
      <c r="EU9" s="1784">
        <v>3</v>
      </c>
      <c r="EV9" s="1785"/>
      <c r="EW9" s="1784">
        <v>9</v>
      </c>
      <c r="EX9" s="1785"/>
      <c r="EY9" s="1740">
        <f t="shared" si="18"/>
        <v>12</v>
      </c>
      <c r="EZ9" s="1784"/>
      <c r="FA9" s="1785">
        <v>19</v>
      </c>
      <c r="FB9" s="1784">
        <v>11</v>
      </c>
      <c r="FC9" s="1785"/>
      <c r="FD9" s="1784">
        <v>8</v>
      </c>
      <c r="FE9" s="1785"/>
      <c r="FF9" s="1740">
        <f t="shared" si="19"/>
        <v>19</v>
      </c>
      <c r="FG9" s="1784"/>
      <c r="FH9" s="1785">
        <v>7535</v>
      </c>
      <c r="FI9" s="1784">
        <v>6919</v>
      </c>
      <c r="FJ9" s="1785">
        <v>312</v>
      </c>
      <c r="FK9" s="1784">
        <v>97</v>
      </c>
      <c r="FL9" s="1785">
        <v>207</v>
      </c>
      <c r="FM9" s="1740">
        <f t="shared" si="20"/>
        <v>7535</v>
      </c>
    </row>
    <row r="10" spans="1:169" ht="16.5">
      <c r="A10" s="13" t="s">
        <v>560</v>
      </c>
      <c r="B10" s="1784">
        <v>1</v>
      </c>
      <c r="C10" s="1818">
        <v>10</v>
      </c>
      <c r="D10" s="1784">
        <v>4</v>
      </c>
      <c r="E10" s="1785">
        <v>2</v>
      </c>
      <c r="F10" s="1784">
        <v>5</v>
      </c>
      <c r="G10" s="1785"/>
      <c r="H10" s="1740">
        <f t="shared" si="0"/>
        <v>10</v>
      </c>
      <c r="I10" s="1784"/>
      <c r="J10" s="1785"/>
      <c r="K10" s="1784"/>
      <c r="L10" s="1785"/>
      <c r="M10" s="1784"/>
      <c r="N10" s="1785"/>
      <c r="O10" s="1789">
        <f t="shared" si="21"/>
        <v>0</v>
      </c>
      <c r="P10" s="1784"/>
      <c r="Q10" s="1785">
        <v>1</v>
      </c>
      <c r="R10" s="1784"/>
      <c r="S10" s="1785">
        <v>1</v>
      </c>
      <c r="T10" s="1784"/>
      <c r="U10" s="1785"/>
      <c r="V10" s="1789">
        <v>1</v>
      </c>
      <c r="W10" s="1784"/>
      <c r="X10" s="1785">
        <v>15</v>
      </c>
      <c r="Y10" s="1784">
        <v>4</v>
      </c>
      <c r="Z10" s="1785"/>
      <c r="AA10" s="1784">
        <v>10</v>
      </c>
      <c r="AB10" s="1785">
        <v>1</v>
      </c>
      <c r="AC10" s="1789">
        <f t="shared" si="1"/>
        <v>15</v>
      </c>
      <c r="AD10" s="1784"/>
      <c r="AE10" s="1785">
        <v>3</v>
      </c>
      <c r="AF10" s="1784">
        <v>1</v>
      </c>
      <c r="AG10" s="1785"/>
      <c r="AH10" s="1784">
        <v>2</v>
      </c>
      <c r="AI10" s="1785"/>
      <c r="AJ10" s="1789">
        <f t="shared" si="2"/>
        <v>3</v>
      </c>
      <c r="AK10" s="1784"/>
      <c r="AL10" s="1785">
        <v>3</v>
      </c>
      <c r="AM10" s="1784">
        <v>2</v>
      </c>
      <c r="AN10" s="1785"/>
      <c r="AO10" s="1784">
        <v>1</v>
      </c>
      <c r="AP10" s="1785"/>
      <c r="AQ10" s="1740">
        <f t="shared" si="3"/>
        <v>3</v>
      </c>
      <c r="AR10" s="1784"/>
      <c r="AS10" s="1785"/>
      <c r="AT10" s="1784"/>
      <c r="AU10" s="1785"/>
      <c r="AV10" s="1784"/>
      <c r="AW10" s="1785"/>
      <c r="AX10" s="1740">
        <f t="shared" si="4"/>
        <v>0</v>
      </c>
      <c r="AY10" s="1784"/>
      <c r="AZ10" s="1785">
        <v>1</v>
      </c>
      <c r="BA10" s="1784">
        <v>1</v>
      </c>
      <c r="BB10" s="1785"/>
      <c r="BC10" s="1784"/>
      <c r="BD10" s="1785"/>
      <c r="BE10" s="1740">
        <f t="shared" si="5"/>
        <v>1</v>
      </c>
      <c r="BF10" s="1784"/>
      <c r="BG10" s="1785"/>
      <c r="BH10" s="1784"/>
      <c r="BI10" s="1785"/>
      <c r="BJ10" s="1784"/>
      <c r="BK10" s="1785"/>
      <c r="BL10" s="1740">
        <f t="shared" si="6"/>
        <v>0</v>
      </c>
      <c r="BM10" s="1784"/>
      <c r="BN10" s="1785">
        <v>1</v>
      </c>
      <c r="BO10" s="1784">
        <v>1</v>
      </c>
      <c r="BP10" s="1785"/>
      <c r="BQ10" s="1784"/>
      <c r="BR10" s="1785"/>
      <c r="BS10" s="1740">
        <f t="shared" si="7"/>
        <v>1</v>
      </c>
      <c r="BT10" s="1784"/>
      <c r="BU10" s="1785">
        <v>2</v>
      </c>
      <c r="BV10" s="1784">
        <v>2</v>
      </c>
      <c r="BW10" s="1785"/>
      <c r="BX10" s="1784"/>
      <c r="BY10" s="1785"/>
      <c r="BZ10" s="1740">
        <f t="shared" si="8"/>
        <v>2</v>
      </c>
      <c r="CA10" s="1784"/>
      <c r="CB10" s="1785">
        <v>47</v>
      </c>
      <c r="CC10" s="1784">
        <v>13</v>
      </c>
      <c r="CD10" s="1785"/>
      <c r="CE10" s="1784">
        <v>34</v>
      </c>
      <c r="CF10" s="1785"/>
      <c r="CG10" s="1740">
        <f t="shared" si="9"/>
        <v>47</v>
      </c>
      <c r="CH10" s="1784"/>
      <c r="CI10" s="1785">
        <v>3</v>
      </c>
      <c r="CJ10" s="1784"/>
      <c r="CK10" s="1785"/>
      <c r="CL10" s="1784">
        <v>3</v>
      </c>
      <c r="CM10" s="1785"/>
      <c r="CN10" s="1740">
        <f t="shared" si="10"/>
        <v>3</v>
      </c>
      <c r="CO10" s="1784"/>
      <c r="CP10" s="1785">
        <v>3</v>
      </c>
      <c r="CQ10" s="1784">
        <v>1</v>
      </c>
      <c r="CR10" s="1785"/>
      <c r="CS10" s="1784">
        <v>2</v>
      </c>
      <c r="CT10" s="1785"/>
      <c r="CU10" s="1740">
        <f t="shared" si="11"/>
        <v>3</v>
      </c>
      <c r="CV10" s="1784"/>
      <c r="CW10" s="1785"/>
      <c r="CX10" s="1784"/>
      <c r="CY10" s="1785"/>
      <c r="CZ10" s="1784"/>
      <c r="DA10" s="1785"/>
      <c r="DB10" s="1740">
        <f t="shared" si="12"/>
        <v>0</v>
      </c>
      <c r="DC10" s="1784"/>
      <c r="DD10" s="1785">
        <v>3</v>
      </c>
      <c r="DE10" s="1784"/>
      <c r="DF10" s="1785"/>
      <c r="DG10" s="1784">
        <v>3</v>
      </c>
      <c r="DH10" s="1785"/>
      <c r="DI10" s="1740">
        <f t="shared" si="13"/>
        <v>3</v>
      </c>
      <c r="DJ10" s="1784"/>
      <c r="DK10" s="1785">
        <v>2</v>
      </c>
      <c r="DL10" s="1784">
        <v>1</v>
      </c>
      <c r="DM10" s="1785"/>
      <c r="DN10" s="1784">
        <v>1</v>
      </c>
      <c r="DO10" s="1785"/>
      <c r="DP10" s="1740">
        <f t="shared" si="14"/>
        <v>2</v>
      </c>
      <c r="DQ10" s="1784"/>
      <c r="DR10" s="1785">
        <v>1</v>
      </c>
      <c r="DS10" s="1784"/>
      <c r="DT10" s="1785"/>
      <c r="DU10" s="1784">
        <v>1</v>
      </c>
      <c r="DV10" s="1785"/>
      <c r="DW10" s="1740">
        <f t="shared" si="15"/>
        <v>1</v>
      </c>
      <c r="DX10" s="1784"/>
      <c r="DY10" s="1785"/>
      <c r="DZ10" s="1784"/>
      <c r="EA10" s="1785"/>
      <c r="EB10" s="1784"/>
      <c r="EC10" s="1785"/>
      <c r="ED10" s="1789"/>
      <c r="EE10" s="1784"/>
      <c r="EF10" s="1785">
        <v>5</v>
      </c>
      <c r="EG10" s="1784"/>
      <c r="EH10" s="1785">
        <v>1</v>
      </c>
      <c r="EI10" s="1784">
        <v>4</v>
      </c>
      <c r="EJ10" s="1785"/>
      <c r="EK10" s="1740">
        <f t="shared" si="16"/>
        <v>5</v>
      </c>
      <c r="EL10" s="1784"/>
      <c r="EM10" s="1785"/>
      <c r="EN10" s="1784"/>
      <c r="EO10" s="1785"/>
      <c r="EP10" s="1784"/>
      <c r="EQ10" s="1785"/>
      <c r="ER10" s="1740">
        <f t="shared" si="17"/>
        <v>0</v>
      </c>
      <c r="ES10" s="1784"/>
      <c r="ET10" s="1785"/>
      <c r="EU10" s="1784"/>
      <c r="EV10" s="1785"/>
      <c r="EW10" s="1784"/>
      <c r="EX10" s="1785"/>
      <c r="EY10" s="1740">
        <f t="shared" si="18"/>
        <v>0</v>
      </c>
      <c r="EZ10" s="1784"/>
      <c r="FA10" s="1785">
        <v>1</v>
      </c>
      <c r="FB10" s="1784">
        <v>1</v>
      </c>
      <c r="FC10" s="1785"/>
      <c r="FD10" s="1784"/>
      <c r="FE10" s="1785"/>
      <c r="FF10" s="1740">
        <f t="shared" si="19"/>
        <v>1</v>
      </c>
      <c r="FG10" s="1784"/>
      <c r="FH10" s="1785">
        <v>86</v>
      </c>
      <c r="FI10" s="1784">
        <v>80</v>
      </c>
      <c r="FJ10" s="1785">
        <v>1</v>
      </c>
      <c r="FK10" s="1784">
        <v>3</v>
      </c>
      <c r="FL10" s="1785">
        <v>2</v>
      </c>
      <c r="FM10" s="1740">
        <f t="shared" si="20"/>
        <v>86</v>
      </c>
    </row>
    <row r="11" spans="1:169" ht="16.5">
      <c r="A11" s="13" t="s">
        <v>559</v>
      </c>
      <c r="B11" s="1784">
        <v>1</v>
      </c>
      <c r="C11" s="1818">
        <v>511</v>
      </c>
      <c r="D11" s="1784">
        <v>54</v>
      </c>
      <c r="E11" s="1785">
        <v>23</v>
      </c>
      <c r="F11" s="1784">
        <v>427</v>
      </c>
      <c r="G11" s="1785">
        <v>8</v>
      </c>
      <c r="H11" s="1740">
        <f t="shared" si="0"/>
        <v>511</v>
      </c>
      <c r="I11" s="1784"/>
      <c r="J11" s="1785">
        <v>225</v>
      </c>
      <c r="K11" s="1784">
        <v>18</v>
      </c>
      <c r="L11" s="1785">
        <v>8</v>
      </c>
      <c r="M11" s="1784">
        <v>199</v>
      </c>
      <c r="N11" s="1785"/>
      <c r="O11" s="1789">
        <f t="shared" si="21"/>
        <v>225</v>
      </c>
      <c r="P11" s="1784"/>
      <c r="Q11" s="1785">
        <v>280</v>
      </c>
      <c r="R11" s="1784">
        <v>45</v>
      </c>
      <c r="S11" s="1785">
        <v>90</v>
      </c>
      <c r="T11" s="1784">
        <v>118</v>
      </c>
      <c r="U11" s="1785">
        <v>27</v>
      </c>
      <c r="V11" s="1790">
        <v>280</v>
      </c>
      <c r="W11" s="1784">
        <v>6</v>
      </c>
      <c r="X11" s="1785">
        <v>266</v>
      </c>
      <c r="Y11" s="1784">
        <v>100</v>
      </c>
      <c r="Z11" s="1785"/>
      <c r="AA11" s="1784">
        <v>153</v>
      </c>
      <c r="AB11" s="1785">
        <v>19</v>
      </c>
      <c r="AC11" s="1789">
        <f t="shared" si="1"/>
        <v>266</v>
      </c>
      <c r="AD11" s="1784"/>
      <c r="AE11" s="1785">
        <v>1720</v>
      </c>
      <c r="AF11" s="1784">
        <v>434</v>
      </c>
      <c r="AG11" s="1785">
        <v>156</v>
      </c>
      <c r="AH11" s="1784">
        <v>1127</v>
      </c>
      <c r="AI11" s="1785">
        <v>3</v>
      </c>
      <c r="AJ11" s="1789">
        <f t="shared" si="2"/>
        <v>1720</v>
      </c>
      <c r="AK11" s="1784"/>
      <c r="AL11" s="1785">
        <v>174</v>
      </c>
      <c r="AM11" s="1784">
        <v>109</v>
      </c>
      <c r="AN11" s="1785">
        <v>13</v>
      </c>
      <c r="AO11" s="1784">
        <v>42</v>
      </c>
      <c r="AP11" s="1785">
        <v>10</v>
      </c>
      <c r="AQ11" s="1740">
        <f t="shared" si="3"/>
        <v>174</v>
      </c>
      <c r="AR11" s="1784"/>
      <c r="AS11" s="1785">
        <v>131</v>
      </c>
      <c r="AT11" s="1784">
        <v>48</v>
      </c>
      <c r="AU11" s="1785">
        <v>5</v>
      </c>
      <c r="AV11" s="1784">
        <v>78</v>
      </c>
      <c r="AW11" s="1785"/>
      <c r="AX11" s="1740">
        <f t="shared" si="4"/>
        <v>131</v>
      </c>
      <c r="AY11" s="1784"/>
      <c r="AZ11" s="1785">
        <v>102</v>
      </c>
      <c r="BA11" s="1784">
        <v>17</v>
      </c>
      <c r="BB11" s="1785"/>
      <c r="BC11" s="1784">
        <v>80</v>
      </c>
      <c r="BD11" s="1785"/>
      <c r="BE11" s="1740">
        <f t="shared" si="5"/>
        <v>102</v>
      </c>
      <c r="BF11" s="1784"/>
      <c r="BG11" s="1785">
        <v>707</v>
      </c>
      <c r="BH11" s="1784">
        <v>91</v>
      </c>
      <c r="BI11" s="1785">
        <v>125</v>
      </c>
      <c r="BJ11" s="1784">
        <v>465</v>
      </c>
      <c r="BK11" s="1785">
        <v>26</v>
      </c>
      <c r="BL11" s="1740">
        <f t="shared" si="6"/>
        <v>707</v>
      </c>
      <c r="BM11" s="1784"/>
      <c r="BN11" s="1785">
        <v>879</v>
      </c>
      <c r="BO11" s="1784">
        <v>114</v>
      </c>
      <c r="BP11" s="1785">
        <v>381</v>
      </c>
      <c r="BQ11" s="1784">
        <v>362</v>
      </c>
      <c r="BR11" s="1785">
        <v>22</v>
      </c>
      <c r="BS11" s="1740">
        <f t="shared" si="7"/>
        <v>879</v>
      </c>
      <c r="BT11" s="1784">
        <v>3</v>
      </c>
      <c r="BU11" s="1785">
        <v>989</v>
      </c>
      <c r="BV11" s="1784">
        <v>386</v>
      </c>
      <c r="BW11" s="1785"/>
      <c r="BX11" s="1784">
        <v>580</v>
      </c>
      <c r="BY11" s="1785">
        <v>26</v>
      </c>
      <c r="BZ11" s="1740">
        <f t="shared" si="8"/>
        <v>989</v>
      </c>
      <c r="CA11" s="1784">
        <v>2</v>
      </c>
      <c r="CB11" s="1785">
        <v>1032</v>
      </c>
      <c r="CC11" s="1784">
        <v>247</v>
      </c>
      <c r="CD11" s="1785">
        <v>5</v>
      </c>
      <c r="CE11" s="1784">
        <v>780</v>
      </c>
      <c r="CF11" s="1785">
        <v>2</v>
      </c>
      <c r="CG11" s="1740">
        <f t="shared" si="9"/>
        <v>1032</v>
      </c>
      <c r="CH11" s="1784"/>
      <c r="CI11" s="1785">
        <v>147</v>
      </c>
      <c r="CJ11" s="1784">
        <v>14</v>
      </c>
      <c r="CK11" s="1785">
        <v>10</v>
      </c>
      <c r="CL11" s="1784">
        <v>122</v>
      </c>
      <c r="CM11" s="1785">
        <v>1</v>
      </c>
      <c r="CN11" s="1740">
        <f t="shared" si="10"/>
        <v>147</v>
      </c>
      <c r="CO11" s="1784">
        <v>67</v>
      </c>
      <c r="CP11" s="1785">
        <v>644</v>
      </c>
      <c r="CQ11" s="1784">
        <v>235</v>
      </c>
      <c r="CR11" s="1785"/>
      <c r="CS11" s="1784">
        <v>391</v>
      </c>
      <c r="CT11" s="1785">
        <v>78</v>
      </c>
      <c r="CU11" s="1740">
        <f t="shared" si="11"/>
        <v>644</v>
      </c>
      <c r="CV11" s="1784">
        <v>13</v>
      </c>
      <c r="CW11" s="1785">
        <v>206</v>
      </c>
      <c r="CX11" s="1784">
        <v>57</v>
      </c>
      <c r="CY11" s="1785"/>
      <c r="CZ11" s="1784">
        <v>146</v>
      </c>
      <c r="DA11" s="1785">
        <v>16</v>
      </c>
      <c r="DB11" s="1740">
        <f t="shared" si="12"/>
        <v>206</v>
      </c>
      <c r="DC11" s="1784"/>
      <c r="DD11" s="1785">
        <v>865</v>
      </c>
      <c r="DE11" s="1784">
        <v>157</v>
      </c>
      <c r="DF11" s="1785">
        <v>125</v>
      </c>
      <c r="DG11" s="1784">
        <v>583</v>
      </c>
      <c r="DH11" s="1785"/>
      <c r="DI11" s="1740">
        <f t="shared" si="13"/>
        <v>865</v>
      </c>
      <c r="DJ11" s="1784">
        <v>34</v>
      </c>
      <c r="DK11" s="1785">
        <v>466</v>
      </c>
      <c r="DL11" s="1784">
        <v>211</v>
      </c>
      <c r="DM11" s="1785"/>
      <c r="DN11" s="1784">
        <v>257</v>
      </c>
      <c r="DO11" s="1785">
        <v>32</v>
      </c>
      <c r="DP11" s="1740">
        <f t="shared" si="14"/>
        <v>466</v>
      </c>
      <c r="DQ11" s="1784"/>
      <c r="DR11" s="1785">
        <v>326</v>
      </c>
      <c r="DS11" s="1784">
        <v>27</v>
      </c>
      <c r="DT11" s="1785">
        <v>3</v>
      </c>
      <c r="DU11" s="1784">
        <v>271</v>
      </c>
      <c r="DV11" s="1785">
        <v>16</v>
      </c>
      <c r="DW11" s="1740">
        <f t="shared" si="15"/>
        <v>326</v>
      </c>
      <c r="DX11" s="1784"/>
      <c r="DY11" s="1785"/>
      <c r="DZ11" s="1784"/>
      <c r="EA11" s="1785"/>
      <c r="EB11" s="1784"/>
      <c r="EC11" s="1785"/>
      <c r="ED11" s="1790"/>
      <c r="EE11" s="1784"/>
      <c r="EF11" s="1785">
        <v>300</v>
      </c>
      <c r="EG11" s="1784">
        <v>57</v>
      </c>
      <c r="EH11" s="1785">
        <v>1</v>
      </c>
      <c r="EI11" s="1784">
        <v>242</v>
      </c>
      <c r="EJ11" s="1785"/>
      <c r="EK11" s="1740">
        <f t="shared" si="16"/>
        <v>300</v>
      </c>
      <c r="EL11" s="1784">
        <v>2</v>
      </c>
      <c r="EM11" s="1785">
        <v>71</v>
      </c>
      <c r="EN11" s="1784">
        <v>27</v>
      </c>
      <c r="EO11" s="1785"/>
      <c r="EP11" s="1784">
        <v>32</v>
      </c>
      <c r="EQ11" s="1785">
        <v>14</v>
      </c>
      <c r="ER11" s="1740">
        <f t="shared" si="17"/>
        <v>71</v>
      </c>
      <c r="ES11" s="1784"/>
      <c r="ET11" s="1785">
        <v>333</v>
      </c>
      <c r="EU11" s="1784">
        <v>167</v>
      </c>
      <c r="EV11" s="1785"/>
      <c r="EW11" s="1784">
        <v>136</v>
      </c>
      <c r="EX11" s="1785">
        <v>30</v>
      </c>
      <c r="EY11" s="1740">
        <f t="shared" si="18"/>
        <v>333</v>
      </c>
      <c r="EZ11" s="1784"/>
      <c r="FA11" s="1785">
        <v>477</v>
      </c>
      <c r="FB11" s="1784">
        <v>81</v>
      </c>
      <c r="FC11" s="1785">
        <v>4</v>
      </c>
      <c r="FD11" s="1784">
        <v>377</v>
      </c>
      <c r="FE11" s="1785"/>
      <c r="FF11" s="1740">
        <f t="shared" si="19"/>
        <v>477</v>
      </c>
      <c r="FG11" s="1784"/>
      <c r="FH11" s="1785">
        <v>1000</v>
      </c>
      <c r="FI11" s="1784">
        <v>880</v>
      </c>
      <c r="FJ11" s="1785">
        <v>58</v>
      </c>
      <c r="FK11" s="1784">
        <v>20</v>
      </c>
      <c r="FL11" s="1785">
        <v>42</v>
      </c>
      <c r="FM11" s="1740">
        <f t="shared" si="20"/>
        <v>1000</v>
      </c>
    </row>
    <row r="12" spans="1:169" ht="16.5">
      <c r="A12" s="13" t="s">
        <v>558</v>
      </c>
      <c r="B12" s="1785"/>
      <c r="C12" s="13">
        <v>46</v>
      </c>
      <c r="D12" s="1784">
        <v>4</v>
      </c>
      <c r="E12" s="1785">
        <v>6</v>
      </c>
      <c r="F12" s="1784">
        <v>34</v>
      </c>
      <c r="G12" s="1785">
        <v>2</v>
      </c>
      <c r="H12" s="1740">
        <f t="shared" si="0"/>
        <v>46</v>
      </c>
      <c r="I12" s="1785"/>
      <c r="J12" s="1786"/>
      <c r="K12" s="1784"/>
      <c r="L12" s="1785"/>
      <c r="M12" s="1784"/>
      <c r="N12" s="1785"/>
      <c r="O12" s="1789">
        <f t="shared" si="21"/>
        <v>0</v>
      </c>
      <c r="P12" s="1785"/>
      <c r="Q12" s="1786"/>
      <c r="R12" s="1784"/>
      <c r="S12" s="1785"/>
      <c r="T12" s="1784"/>
      <c r="U12" s="1785"/>
      <c r="V12" s="1789"/>
      <c r="W12" s="1785"/>
      <c r="X12" s="1786"/>
      <c r="Y12" s="1784"/>
      <c r="Z12" s="1785"/>
      <c r="AA12" s="1784"/>
      <c r="AB12" s="1785"/>
      <c r="AC12" s="1789"/>
      <c r="AD12" s="1785"/>
      <c r="AE12" s="1786"/>
      <c r="AF12" s="1784"/>
      <c r="AG12" s="1785"/>
      <c r="AH12" s="1784"/>
      <c r="AI12" s="1785"/>
      <c r="AJ12" s="1789"/>
      <c r="AK12" s="1785"/>
      <c r="AL12" s="1786"/>
      <c r="AM12" s="1784"/>
      <c r="AN12" s="1785"/>
      <c r="AO12" s="1784"/>
      <c r="AP12" s="1785"/>
      <c r="AQ12" s="1789"/>
      <c r="AR12" s="1785"/>
      <c r="AS12" s="1786">
        <v>20</v>
      </c>
      <c r="AT12" s="1784">
        <v>6</v>
      </c>
      <c r="AU12" s="1785">
        <v>3</v>
      </c>
      <c r="AV12" s="1784">
        <v>11</v>
      </c>
      <c r="AW12" s="1785"/>
      <c r="AX12" s="1740">
        <f t="shared" si="4"/>
        <v>20</v>
      </c>
      <c r="AY12" s="1785"/>
      <c r="AZ12" s="1786">
        <v>2</v>
      </c>
      <c r="BA12" s="1784">
        <v>1</v>
      </c>
      <c r="BB12" s="1785"/>
      <c r="BC12" s="1784">
        <v>1</v>
      </c>
      <c r="BD12" s="1785"/>
      <c r="BE12" s="1740">
        <f t="shared" si="5"/>
        <v>2</v>
      </c>
      <c r="BF12" s="1785"/>
      <c r="BG12" s="1786">
        <v>42</v>
      </c>
      <c r="BH12" s="1784">
        <v>8</v>
      </c>
      <c r="BI12" s="1785">
        <v>8</v>
      </c>
      <c r="BJ12" s="1784">
        <v>23</v>
      </c>
      <c r="BK12" s="1785">
        <v>3</v>
      </c>
      <c r="BL12" s="1740">
        <f t="shared" si="6"/>
        <v>42</v>
      </c>
      <c r="BM12" s="1785"/>
      <c r="BN12" s="1786">
        <v>16</v>
      </c>
      <c r="BO12" s="1784">
        <v>3</v>
      </c>
      <c r="BP12" s="1785">
        <v>7</v>
      </c>
      <c r="BQ12" s="1784">
        <v>6</v>
      </c>
      <c r="BR12" s="1785"/>
      <c r="BS12" s="1740">
        <f t="shared" si="7"/>
        <v>16</v>
      </c>
      <c r="BT12" s="1785"/>
      <c r="BU12" s="1786">
        <v>85</v>
      </c>
      <c r="BV12" s="1784">
        <v>33</v>
      </c>
      <c r="BW12" s="1785"/>
      <c r="BX12" s="1784">
        <v>50</v>
      </c>
      <c r="BY12" s="1785">
        <v>2</v>
      </c>
      <c r="BZ12" s="1740">
        <f t="shared" si="8"/>
        <v>85</v>
      </c>
      <c r="CA12" s="1785">
        <v>1</v>
      </c>
      <c r="CB12" s="1786">
        <v>96</v>
      </c>
      <c r="CC12" s="1784">
        <v>37</v>
      </c>
      <c r="CD12" s="1785">
        <v>4</v>
      </c>
      <c r="CE12" s="1784">
        <v>56</v>
      </c>
      <c r="CF12" s="1785"/>
      <c r="CG12" s="1740">
        <f>CB12</f>
        <v>96</v>
      </c>
      <c r="CH12" s="1785"/>
      <c r="CI12" s="1786">
        <v>5</v>
      </c>
      <c r="CJ12" s="1784"/>
      <c r="CK12" s="1785"/>
      <c r="CL12" s="1784">
        <v>5</v>
      </c>
      <c r="CM12" s="1785"/>
      <c r="CN12" s="1740">
        <f t="shared" si="10"/>
        <v>5</v>
      </c>
      <c r="CO12" s="1785">
        <v>1</v>
      </c>
      <c r="CP12" s="1786">
        <v>11</v>
      </c>
      <c r="CQ12" s="1784">
        <v>1</v>
      </c>
      <c r="CR12" s="1785"/>
      <c r="CS12" s="1784">
        <v>11</v>
      </c>
      <c r="CT12" s="1785"/>
      <c r="CU12" s="1740">
        <f t="shared" si="11"/>
        <v>11</v>
      </c>
      <c r="CV12" s="1785">
        <v>3</v>
      </c>
      <c r="CW12" s="1786">
        <v>47</v>
      </c>
      <c r="CX12" s="1784">
        <v>16</v>
      </c>
      <c r="CY12" s="1785"/>
      <c r="CZ12" s="1784">
        <v>32</v>
      </c>
      <c r="DA12" s="1785">
        <v>2</v>
      </c>
      <c r="DB12" s="1740">
        <f t="shared" si="12"/>
        <v>47</v>
      </c>
      <c r="DC12" s="1785"/>
      <c r="DD12" s="1786">
        <v>100</v>
      </c>
      <c r="DE12" s="1784">
        <v>42</v>
      </c>
      <c r="DF12" s="1785">
        <v>9</v>
      </c>
      <c r="DG12" s="1784">
        <v>49</v>
      </c>
      <c r="DH12" s="1785"/>
      <c r="DI12" s="1740">
        <f t="shared" si="13"/>
        <v>100</v>
      </c>
      <c r="DJ12" s="1785"/>
      <c r="DK12" s="1786">
        <v>8</v>
      </c>
      <c r="DL12" s="1784">
        <v>3</v>
      </c>
      <c r="DM12" s="1785"/>
      <c r="DN12" s="1784">
        <v>4</v>
      </c>
      <c r="DO12" s="1785">
        <v>1</v>
      </c>
      <c r="DP12" s="1740">
        <f t="shared" si="14"/>
        <v>8</v>
      </c>
      <c r="DQ12" s="1785"/>
      <c r="DR12" s="1786">
        <v>26</v>
      </c>
      <c r="DS12" s="1784">
        <v>5</v>
      </c>
      <c r="DT12" s="1785">
        <v>1</v>
      </c>
      <c r="DU12" s="1784">
        <v>19</v>
      </c>
      <c r="DV12" s="1785"/>
      <c r="DW12" s="1740">
        <f t="shared" si="15"/>
        <v>26</v>
      </c>
      <c r="DX12" s="1785"/>
      <c r="DY12" s="1786"/>
      <c r="DZ12" s="1784"/>
      <c r="EA12" s="1785"/>
      <c r="EB12" s="1784"/>
      <c r="EC12" s="1785"/>
      <c r="ED12" s="1789"/>
      <c r="EE12" s="1785"/>
      <c r="EF12" s="1786">
        <v>86</v>
      </c>
      <c r="EG12" s="1784">
        <v>28</v>
      </c>
      <c r="EH12" s="1785">
        <v>1</v>
      </c>
      <c r="EI12" s="1784">
        <v>57</v>
      </c>
      <c r="EJ12" s="1785"/>
      <c r="EK12" s="1740">
        <f t="shared" si="16"/>
        <v>86</v>
      </c>
      <c r="EL12" s="1785"/>
      <c r="EM12" s="1786">
        <v>11</v>
      </c>
      <c r="EN12" s="1784">
        <v>1</v>
      </c>
      <c r="EO12" s="1785"/>
      <c r="EP12" s="1784">
        <v>7</v>
      </c>
      <c r="EQ12" s="1785">
        <v>3</v>
      </c>
      <c r="ER12" s="1740">
        <f t="shared" si="17"/>
        <v>11</v>
      </c>
      <c r="ES12" s="1785"/>
      <c r="ET12" s="1786">
        <v>5</v>
      </c>
      <c r="EU12" s="1784">
        <v>4</v>
      </c>
      <c r="EV12" s="1785"/>
      <c r="EW12" s="1784">
        <v>1</v>
      </c>
      <c r="EX12" s="1785"/>
      <c r="EY12" s="1740">
        <f t="shared" si="18"/>
        <v>5</v>
      </c>
      <c r="EZ12" s="1785"/>
      <c r="FA12" s="1786">
        <v>21</v>
      </c>
      <c r="FB12" s="1784">
        <v>3</v>
      </c>
      <c r="FC12" s="1785"/>
      <c r="FD12" s="1784">
        <v>18</v>
      </c>
      <c r="FE12" s="1785"/>
      <c r="FF12" s="1740">
        <f t="shared" si="19"/>
        <v>21</v>
      </c>
      <c r="FG12" s="1785"/>
      <c r="FH12" s="1786">
        <v>5954</v>
      </c>
      <c r="FI12" s="1784">
        <v>5347</v>
      </c>
      <c r="FJ12" s="1785">
        <v>261</v>
      </c>
      <c r="FK12" s="1784">
        <v>115</v>
      </c>
      <c r="FL12" s="1785">
        <v>231</v>
      </c>
      <c r="FM12" s="1740">
        <f t="shared" si="20"/>
        <v>5954</v>
      </c>
    </row>
    <row r="13" spans="1:169" ht="16.5">
      <c r="A13" s="1783" t="s">
        <v>534</v>
      </c>
      <c r="B13" s="1784">
        <f>B5</f>
        <v>2</v>
      </c>
      <c r="C13" s="102">
        <f>C5</f>
        <v>898</v>
      </c>
      <c r="D13" s="1784">
        <f>D5</f>
        <v>240</v>
      </c>
      <c r="E13" s="1784">
        <f>E5</f>
        <v>80</v>
      </c>
      <c r="F13" s="1784">
        <f>F5</f>
        <v>566</v>
      </c>
      <c r="G13" s="1785">
        <v>14</v>
      </c>
      <c r="H13" s="1740">
        <f t="shared" si="0"/>
        <v>898</v>
      </c>
      <c r="I13" s="1784"/>
      <c r="J13" s="1785">
        <f aca="true" t="shared" si="22" ref="J13:O13">SUM(J6:J12)</f>
        <v>257</v>
      </c>
      <c r="K13" s="1785">
        <f t="shared" si="22"/>
        <v>35</v>
      </c>
      <c r="L13" s="1785">
        <f t="shared" si="22"/>
        <v>8</v>
      </c>
      <c r="M13" s="1785">
        <f t="shared" si="22"/>
        <v>214</v>
      </c>
      <c r="N13" s="1785">
        <f t="shared" si="22"/>
        <v>0</v>
      </c>
      <c r="O13" s="1785">
        <f t="shared" si="22"/>
        <v>257</v>
      </c>
      <c r="P13" s="1784"/>
      <c r="Q13" s="1785">
        <f>SUM(Q6:Q12)</f>
        <v>514</v>
      </c>
      <c r="R13" s="1785">
        <f aca="true" t="shared" si="23" ref="R13:W13">SUM(R6:R12)</f>
        <v>58</v>
      </c>
      <c r="S13" s="1785">
        <f t="shared" si="23"/>
        <v>262</v>
      </c>
      <c r="T13" s="1785">
        <f t="shared" si="23"/>
        <v>151</v>
      </c>
      <c r="U13" s="1785">
        <f t="shared" si="23"/>
        <v>43</v>
      </c>
      <c r="V13" s="1785">
        <f t="shared" si="23"/>
        <v>514</v>
      </c>
      <c r="W13" s="1785">
        <f t="shared" si="23"/>
        <v>6</v>
      </c>
      <c r="X13" s="1785">
        <f aca="true" t="shared" si="24" ref="X13:BC13">SUM(X6:X12)</f>
        <v>405</v>
      </c>
      <c r="Y13" s="1785">
        <f t="shared" si="24"/>
        <v>167</v>
      </c>
      <c r="Z13" s="1785">
        <f t="shared" si="24"/>
        <v>0</v>
      </c>
      <c r="AA13" s="1785">
        <f t="shared" si="24"/>
        <v>216</v>
      </c>
      <c r="AB13" s="1785">
        <f t="shared" si="24"/>
        <v>28</v>
      </c>
      <c r="AC13" s="1785">
        <f t="shared" si="24"/>
        <v>405</v>
      </c>
      <c r="AD13" s="1785">
        <f t="shared" si="24"/>
        <v>0</v>
      </c>
      <c r="AE13" s="1785">
        <f t="shared" si="24"/>
        <v>1758</v>
      </c>
      <c r="AF13" s="1785">
        <f t="shared" si="24"/>
        <v>452</v>
      </c>
      <c r="AG13" s="1785">
        <f t="shared" si="24"/>
        <v>164</v>
      </c>
      <c r="AH13" s="1785">
        <f t="shared" si="24"/>
        <v>1139</v>
      </c>
      <c r="AI13" s="1785">
        <f t="shared" si="24"/>
        <v>3</v>
      </c>
      <c r="AJ13" s="1785">
        <f t="shared" si="24"/>
        <v>1758</v>
      </c>
      <c r="AK13" s="1785">
        <f t="shared" si="24"/>
        <v>0</v>
      </c>
      <c r="AL13" s="1785">
        <f t="shared" si="24"/>
        <v>219</v>
      </c>
      <c r="AM13" s="1785">
        <f t="shared" si="24"/>
        <v>143</v>
      </c>
      <c r="AN13" s="1785">
        <f t="shared" si="24"/>
        <v>20</v>
      </c>
      <c r="AO13" s="1785">
        <f t="shared" si="24"/>
        <v>45</v>
      </c>
      <c r="AP13" s="1785">
        <f t="shared" si="24"/>
        <v>11</v>
      </c>
      <c r="AQ13" s="1785">
        <f t="shared" si="24"/>
        <v>219</v>
      </c>
      <c r="AR13" s="1785">
        <f t="shared" si="24"/>
        <v>0</v>
      </c>
      <c r="AS13" s="1785">
        <f t="shared" si="24"/>
        <v>170</v>
      </c>
      <c r="AT13" s="1785">
        <f t="shared" si="24"/>
        <v>63</v>
      </c>
      <c r="AU13" s="1785">
        <f t="shared" si="24"/>
        <v>11</v>
      </c>
      <c r="AV13" s="1785">
        <f t="shared" si="24"/>
        <v>96</v>
      </c>
      <c r="AW13" s="1785">
        <f t="shared" si="24"/>
        <v>0</v>
      </c>
      <c r="AX13" s="1785">
        <f t="shared" si="24"/>
        <v>170</v>
      </c>
      <c r="AY13" s="1785">
        <f t="shared" si="24"/>
        <v>0</v>
      </c>
      <c r="AZ13" s="1785">
        <f t="shared" si="24"/>
        <v>114</v>
      </c>
      <c r="BA13" s="1785">
        <f t="shared" si="24"/>
        <v>24</v>
      </c>
      <c r="BB13" s="1785">
        <f t="shared" si="24"/>
        <v>0</v>
      </c>
      <c r="BC13" s="1785">
        <f t="shared" si="24"/>
        <v>84</v>
      </c>
      <c r="BD13" s="1785">
        <f aca="true" t="shared" si="25" ref="BD13:CI13">SUM(BD6:BD12)</f>
        <v>0</v>
      </c>
      <c r="BE13" s="1785">
        <f t="shared" si="25"/>
        <v>114</v>
      </c>
      <c r="BF13" s="1785">
        <f t="shared" si="25"/>
        <v>0</v>
      </c>
      <c r="BG13" s="1785">
        <f t="shared" si="25"/>
        <v>806</v>
      </c>
      <c r="BH13" s="1785">
        <f t="shared" si="25"/>
        <v>114</v>
      </c>
      <c r="BI13" s="1785">
        <f t="shared" si="25"/>
        <v>143</v>
      </c>
      <c r="BJ13" s="1785">
        <f t="shared" si="25"/>
        <v>520</v>
      </c>
      <c r="BK13" s="1785">
        <f t="shared" si="25"/>
        <v>29</v>
      </c>
      <c r="BL13" s="1785">
        <f t="shared" si="25"/>
        <v>806</v>
      </c>
      <c r="BM13" s="1785">
        <f t="shared" si="25"/>
        <v>0</v>
      </c>
      <c r="BN13" s="1785">
        <f t="shared" si="25"/>
        <v>942</v>
      </c>
      <c r="BO13" s="1785">
        <f t="shared" si="25"/>
        <v>143</v>
      </c>
      <c r="BP13" s="1785">
        <f t="shared" si="25"/>
        <v>402</v>
      </c>
      <c r="BQ13" s="1785">
        <f t="shared" si="25"/>
        <v>375</v>
      </c>
      <c r="BR13" s="1785">
        <f t="shared" si="25"/>
        <v>22</v>
      </c>
      <c r="BS13" s="1785">
        <f t="shared" si="25"/>
        <v>942</v>
      </c>
      <c r="BT13" s="1785">
        <f t="shared" si="25"/>
        <v>5</v>
      </c>
      <c r="BU13" s="1785">
        <f t="shared" si="25"/>
        <v>1208</v>
      </c>
      <c r="BV13" s="1785">
        <f t="shared" si="25"/>
        <v>493</v>
      </c>
      <c r="BW13" s="1785">
        <f t="shared" si="25"/>
        <v>0</v>
      </c>
      <c r="BX13" s="1785">
        <f t="shared" si="25"/>
        <v>685</v>
      </c>
      <c r="BY13" s="1785">
        <f t="shared" si="25"/>
        <v>35</v>
      </c>
      <c r="BZ13" s="1785">
        <f t="shared" si="25"/>
        <v>1208</v>
      </c>
      <c r="CA13" s="1785">
        <f t="shared" si="25"/>
        <v>3</v>
      </c>
      <c r="CB13" s="1785">
        <f t="shared" si="25"/>
        <v>1309</v>
      </c>
      <c r="CC13" s="1785">
        <f t="shared" si="25"/>
        <v>350</v>
      </c>
      <c r="CD13" s="1785">
        <f t="shared" si="25"/>
        <v>12</v>
      </c>
      <c r="CE13" s="1785">
        <f t="shared" si="25"/>
        <v>946</v>
      </c>
      <c r="CF13" s="1785">
        <f t="shared" si="25"/>
        <v>4</v>
      </c>
      <c r="CG13" s="1785">
        <f t="shared" si="25"/>
        <v>1309</v>
      </c>
      <c r="CH13" s="1785">
        <f t="shared" si="25"/>
        <v>0</v>
      </c>
      <c r="CI13" s="1785">
        <f t="shared" si="25"/>
        <v>189</v>
      </c>
      <c r="CJ13" s="1785">
        <f aca="true" t="shared" si="26" ref="CJ13:DO13">SUM(CJ6:CJ12)</f>
        <v>25</v>
      </c>
      <c r="CK13" s="1785">
        <f t="shared" si="26"/>
        <v>12</v>
      </c>
      <c r="CL13" s="1785">
        <f t="shared" si="26"/>
        <v>151</v>
      </c>
      <c r="CM13" s="1785">
        <f t="shared" si="26"/>
        <v>1</v>
      </c>
      <c r="CN13" s="1785">
        <f t="shared" si="26"/>
        <v>189</v>
      </c>
      <c r="CO13" s="1785">
        <f t="shared" si="26"/>
        <v>72</v>
      </c>
      <c r="CP13" s="1785">
        <f t="shared" si="26"/>
        <v>711</v>
      </c>
      <c r="CQ13" s="1785">
        <f t="shared" si="26"/>
        <v>259</v>
      </c>
      <c r="CR13" s="1785">
        <f t="shared" si="26"/>
        <v>0</v>
      </c>
      <c r="CS13" s="1785">
        <f t="shared" si="26"/>
        <v>429</v>
      </c>
      <c r="CT13" s="1785">
        <f t="shared" si="26"/>
        <v>86</v>
      </c>
      <c r="CU13" s="1785">
        <f t="shared" si="26"/>
        <v>711</v>
      </c>
      <c r="CV13" s="1785">
        <f t="shared" si="26"/>
        <v>19</v>
      </c>
      <c r="CW13" s="1785">
        <f t="shared" si="26"/>
        <v>280</v>
      </c>
      <c r="CX13" s="1785">
        <f t="shared" si="26"/>
        <v>76</v>
      </c>
      <c r="CY13" s="1785">
        <f t="shared" si="26"/>
        <v>0</v>
      </c>
      <c r="CZ13" s="1785">
        <f t="shared" si="26"/>
        <v>202</v>
      </c>
      <c r="DA13" s="1785">
        <f t="shared" si="26"/>
        <v>21</v>
      </c>
      <c r="DB13" s="1785">
        <f t="shared" si="26"/>
        <v>280</v>
      </c>
      <c r="DC13" s="1785">
        <f t="shared" si="26"/>
        <v>0</v>
      </c>
      <c r="DD13" s="1785">
        <f>SUM(DD6:DD12)</f>
        <v>1118</v>
      </c>
      <c r="DE13" s="1785">
        <f t="shared" si="26"/>
        <v>252</v>
      </c>
      <c r="DF13" s="1785">
        <f t="shared" si="26"/>
        <v>150</v>
      </c>
      <c r="DG13" s="1785">
        <f t="shared" si="26"/>
        <v>715</v>
      </c>
      <c r="DH13" s="1785">
        <f t="shared" si="26"/>
        <v>1</v>
      </c>
      <c r="DI13" s="1785">
        <f t="shared" si="26"/>
        <v>1118</v>
      </c>
      <c r="DJ13" s="1785">
        <f t="shared" si="26"/>
        <v>43</v>
      </c>
      <c r="DK13" s="1785">
        <f t="shared" si="26"/>
        <v>624</v>
      </c>
      <c r="DL13" s="1785">
        <f t="shared" si="26"/>
        <v>287</v>
      </c>
      <c r="DM13" s="1785">
        <f t="shared" si="26"/>
        <v>0</v>
      </c>
      <c r="DN13" s="1785">
        <f t="shared" si="26"/>
        <v>335</v>
      </c>
      <c r="DO13" s="1785">
        <f t="shared" si="26"/>
        <v>45</v>
      </c>
      <c r="DP13" s="1785">
        <f aca="true" t="shared" si="27" ref="DP13:EU13">SUM(DP6:DP12)</f>
        <v>624</v>
      </c>
      <c r="DQ13" s="1785">
        <f t="shared" si="27"/>
        <v>0</v>
      </c>
      <c r="DR13" s="1785">
        <f t="shared" si="27"/>
        <v>514</v>
      </c>
      <c r="DS13" s="1785">
        <f t="shared" si="27"/>
        <v>149</v>
      </c>
      <c r="DT13" s="1785">
        <f t="shared" si="27"/>
        <v>10</v>
      </c>
      <c r="DU13" s="1785">
        <f t="shared" si="27"/>
        <v>326</v>
      </c>
      <c r="DV13" s="1785">
        <f t="shared" si="27"/>
        <v>19</v>
      </c>
      <c r="DW13" s="1785">
        <f t="shared" si="27"/>
        <v>514</v>
      </c>
      <c r="DX13" s="1785">
        <f t="shared" si="27"/>
        <v>0</v>
      </c>
      <c r="DY13" s="1785">
        <f t="shared" si="27"/>
        <v>0</v>
      </c>
      <c r="DZ13" s="1785">
        <f t="shared" si="27"/>
        <v>0</v>
      </c>
      <c r="EA13" s="1785">
        <f t="shared" si="27"/>
        <v>0</v>
      </c>
      <c r="EB13" s="1785">
        <f t="shared" si="27"/>
        <v>0</v>
      </c>
      <c r="EC13" s="1785">
        <f t="shared" si="27"/>
        <v>0</v>
      </c>
      <c r="ED13" s="1785">
        <f t="shared" si="27"/>
        <v>0</v>
      </c>
      <c r="EE13" s="1785">
        <f t="shared" si="27"/>
        <v>0</v>
      </c>
      <c r="EF13" s="1785">
        <f t="shared" si="27"/>
        <v>971</v>
      </c>
      <c r="EG13" s="1785">
        <f t="shared" si="27"/>
        <v>381</v>
      </c>
      <c r="EH13" s="1785">
        <f t="shared" si="27"/>
        <v>19</v>
      </c>
      <c r="EI13" s="1785">
        <f t="shared" si="27"/>
        <v>571</v>
      </c>
      <c r="EJ13" s="1785">
        <f t="shared" si="27"/>
        <v>0</v>
      </c>
      <c r="EK13" s="1785">
        <f t="shared" si="27"/>
        <v>971</v>
      </c>
      <c r="EL13" s="1785">
        <f t="shared" si="27"/>
        <v>3</v>
      </c>
      <c r="EM13" s="1785">
        <f t="shared" si="27"/>
        <v>93</v>
      </c>
      <c r="EN13" s="1785">
        <f t="shared" si="27"/>
        <v>32</v>
      </c>
      <c r="EO13" s="1785">
        <f t="shared" si="27"/>
        <v>0</v>
      </c>
      <c r="EP13" s="1785">
        <f t="shared" si="27"/>
        <v>47</v>
      </c>
      <c r="EQ13" s="1785">
        <f t="shared" si="27"/>
        <v>17</v>
      </c>
      <c r="ER13" s="1785">
        <f t="shared" si="27"/>
        <v>93</v>
      </c>
      <c r="ES13" s="1785">
        <f t="shared" si="27"/>
        <v>0</v>
      </c>
      <c r="ET13" s="1785">
        <f t="shared" si="27"/>
        <v>382</v>
      </c>
      <c r="EU13" s="1785">
        <f t="shared" si="27"/>
        <v>192</v>
      </c>
      <c r="EV13" s="1785">
        <f aca="true" t="shared" si="28" ref="EV13:FM13">SUM(EV6:EV12)</f>
        <v>0</v>
      </c>
      <c r="EW13" s="1785">
        <f t="shared" si="28"/>
        <v>159</v>
      </c>
      <c r="EX13" s="1785">
        <f t="shared" si="28"/>
        <v>31</v>
      </c>
      <c r="EY13" s="1785">
        <f t="shared" si="28"/>
        <v>382</v>
      </c>
      <c r="EZ13" s="1785">
        <f t="shared" si="28"/>
        <v>0</v>
      </c>
      <c r="FA13" s="1785">
        <f t="shared" si="28"/>
        <v>796</v>
      </c>
      <c r="FB13" s="1785">
        <f t="shared" si="28"/>
        <v>286</v>
      </c>
      <c r="FC13" s="1785">
        <f t="shared" si="28"/>
        <v>6</v>
      </c>
      <c r="FD13" s="1785">
        <f t="shared" si="28"/>
        <v>487</v>
      </c>
      <c r="FE13" s="1785">
        <f t="shared" si="28"/>
        <v>0</v>
      </c>
      <c r="FF13" s="1785">
        <f t="shared" si="28"/>
        <v>796</v>
      </c>
      <c r="FG13" s="1785">
        <f t="shared" si="28"/>
        <v>0</v>
      </c>
      <c r="FH13" s="1785">
        <f t="shared" si="28"/>
        <v>28225</v>
      </c>
      <c r="FI13" s="1785">
        <v>25511</v>
      </c>
      <c r="FJ13" s="1785">
        <f t="shared" si="28"/>
        <v>1312</v>
      </c>
      <c r="FK13" s="1785">
        <f t="shared" si="28"/>
        <v>452</v>
      </c>
      <c r="FL13" s="1785">
        <f t="shared" si="28"/>
        <v>950</v>
      </c>
      <c r="FM13" s="1785">
        <f t="shared" si="28"/>
        <v>28225</v>
      </c>
    </row>
    <row r="14" spans="1:169" ht="16.5">
      <c r="A14" s="13" t="s">
        <v>557</v>
      </c>
      <c r="B14" s="1788">
        <v>49340</v>
      </c>
      <c r="C14" s="1818"/>
      <c r="D14" s="1785"/>
      <c r="E14" s="1785"/>
      <c r="F14" s="1785"/>
      <c r="G14" s="1785"/>
      <c r="H14" s="760"/>
      <c r="I14" s="1788">
        <v>52963</v>
      </c>
      <c r="J14" s="1785"/>
      <c r="K14" s="1785"/>
      <c r="L14" s="1785"/>
      <c r="M14" s="1785"/>
      <c r="N14" s="1785"/>
      <c r="O14" s="760"/>
      <c r="P14" s="1788"/>
      <c r="Q14" s="1785"/>
      <c r="R14" s="1785"/>
      <c r="S14" s="1785"/>
      <c r="T14" s="1785"/>
      <c r="U14" s="1785"/>
      <c r="V14" s="760"/>
      <c r="W14" s="1788">
        <v>310952</v>
      </c>
      <c r="X14" s="1785"/>
      <c r="Y14" s="1785"/>
      <c r="Z14" s="1785"/>
      <c r="AA14" s="1785"/>
      <c r="AB14" s="1785"/>
      <c r="AC14" s="760"/>
      <c r="AD14" s="1788">
        <v>38961</v>
      </c>
      <c r="AE14" s="1785"/>
      <c r="AF14" s="1785"/>
      <c r="AG14" s="1785"/>
      <c r="AH14" s="1785"/>
      <c r="AI14" s="1785"/>
      <c r="AJ14" s="760"/>
      <c r="AK14" s="1788">
        <v>129068</v>
      </c>
      <c r="AL14" s="1785"/>
      <c r="AM14" s="1785"/>
      <c r="AN14" s="1785"/>
      <c r="AO14" s="1785"/>
      <c r="AP14" s="1785"/>
      <c r="AQ14" s="760"/>
      <c r="AR14" s="1788">
        <v>93420</v>
      </c>
      <c r="AS14" s="1785"/>
      <c r="AT14" s="1785"/>
      <c r="AU14" s="1785"/>
      <c r="AV14" s="1785"/>
      <c r="AW14" s="1785"/>
      <c r="AX14" s="760"/>
      <c r="AY14" s="1788">
        <v>81074</v>
      </c>
      <c r="AZ14" s="1785"/>
      <c r="BA14" s="1785"/>
      <c r="BB14" s="1785"/>
      <c r="BC14" s="1785"/>
      <c r="BD14" s="1785"/>
      <c r="BE14" s="760"/>
      <c r="BF14" s="1788">
        <v>37487</v>
      </c>
      <c r="BG14" s="1785"/>
      <c r="BH14" s="1785"/>
      <c r="BI14" s="1785"/>
      <c r="BJ14" s="1785"/>
      <c r="BK14" s="1785"/>
      <c r="BL14" s="760"/>
      <c r="BM14" s="1788">
        <v>71458</v>
      </c>
      <c r="BN14" s="1785"/>
      <c r="BO14" s="1785"/>
      <c r="BP14" s="1785"/>
      <c r="BQ14" s="1785"/>
      <c r="BR14" s="1785"/>
      <c r="BS14" s="760"/>
      <c r="BT14" s="1788">
        <v>202665</v>
      </c>
      <c r="BU14" s="1785"/>
      <c r="BV14" s="1785"/>
      <c r="BW14" s="1785"/>
      <c r="BX14" s="1785"/>
      <c r="BY14" s="1785"/>
      <c r="BZ14" s="760"/>
      <c r="CA14" s="1788">
        <v>893841</v>
      </c>
      <c r="CB14" s="1785"/>
      <c r="CC14" s="1785"/>
      <c r="CD14" s="1785"/>
      <c r="CE14" s="1785"/>
      <c r="CF14" s="1785"/>
      <c r="CG14" s="760"/>
      <c r="CH14" s="1788">
        <v>101810</v>
      </c>
      <c r="CI14" s="1785"/>
      <c r="CJ14" s="1785"/>
      <c r="CK14" s="1785"/>
      <c r="CL14" s="1785"/>
      <c r="CM14" s="1785"/>
      <c r="CN14" s="760"/>
      <c r="CO14" s="1788">
        <v>30136</v>
      </c>
      <c r="CP14" s="1785"/>
      <c r="CQ14" s="1785"/>
      <c r="CR14" s="1785"/>
      <c r="CS14" s="1785"/>
      <c r="CT14" s="1785"/>
      <c r="CU14" s="760"/>
      <c r="CV14" s="1788">
        <v>346885</v>
      </c>
      <c r="CW14" s="1785"/>
      <c r="CX14" s="1785"/>
      <c r="CY14" s="1785"/>
      <c r="CZ14" s="1785"/>
      <c r="DA14" s="1785"/>
      <c r="DB14" s="760"/>
      <c r="DC14" s="1788">
        <v>645629</v>
      </c>
      <c r="DD14" s="1785"/>
      <c r="DE14" s="1785"/>
      <c r="DF14" s="1785"/>
      <c r="DG14" s="1785"/>
      <c r="DH14" s="1785"/>
      <c r="DI14" s="760"/>
      <c r="DJ14" s="1788">
        <v>212047</v>
      </c>
      <c r="DK14" s="1785"/>
      <c r="DL14" s="1785"/>
      <c r="DM14" s="1785"/>
      <c r="DN14" s="1785"/>
      <c r="DO14" s="1785"/>
      <c r="DP14" s="760"/>
      <c r="DQ14" s="1788">
        <v>225871</v>
      </c>
      <c r="DR14" s="1785"/>
      <c r="DS14" s="1785"/>
      <c r="DT14" s="1785"/>
      <c r="DU14" s="1785"/>
      <c r="DV14" s="1785"/>
      <c r="DW14" s="760"/>
      <c r="DX14" s="1788"/>
      <c r="DY14" s="1785"/>
      <c r="DZ14" s="1785"/>
      <c r="EA14" s="1785"/>
      <c r="EB14" s="1785"/>
      <c r="EC14" s="1785"/>
      <c r="ED14" s="760"/>
      <c r="EE14" s="1788">
        <v>228302</v>
      </c>
      <c r="EF14" s="1785"/>
      <c r="EG14" s="1785"/>
      <c r="EH14" s="1785"/>
      <c r="EI14" s="1785"/>
      <c r="EJ14" s="1785"/>
      <c r="EK14" s="760"/>
      <c r="EL14" s="1788">
        <v>276483</v>
      </c>
      <c r="EM14" s="1785"/>
      <c r="EN14" s="1785"/>
      <c r="EO14" s="1785"/>
      <c r="EP14" s="1785"/>
      <c r="EQ14" s="1785"/>
      <c r="ER14" s="760"/>
      <c r="ES14" s="1788">
        <v>96007</v>
      </c>
      <c r="ET14" s="1785"/>
      <c r="EU14" s="1785"/>
      <c r="EV14" s="1785"/>
      <c r="EW14" s="1785"/>
      <c r="EX14" s="1785"/>
      <c r="EY14" s="760"/>
      <c r="EZ14" s="1788">
        <v>44318</v>
      </c>
      <c r="FA14" s="1785"/>
      <c r="FB14" s="1785"/>
      <c r="FC14" s="1785"/>
      <c r="FD14" s="1785"/>
      <c r="FE14" s="1785"/>
      <c r="FF14" s="760"/>
      <c r="FG14" s="1788">
        <v>21433256</v>
      </c>
      <c r="FH14" s="1785"/>
      <c r="FI14" s="1785"/>
      <c r="FJ14" s="1785"/>
      <c r="FK14" s="1785"/>
      <c r="FL14" s="1785"/>
      <c r="FM14" s="760"/>
    </row>
    <row r="15" spans="1:169" ht="16.5">
      <c r="A15" s="13" t="s">
        <v>556</v>
      </c>
      <c r="B15" s="1788">
        <v>1440</v>
      </c>
      <c r="C15" s="1818"/>
      <c r="D15" s="1785"/>
      <c r="E15" s="1785"/>
      <c r="F15" s="1785"/>
      <c r="G15" s="1785"/>
      <c r="H15" s="760"/>
      <c r="I15" s="1788">
        <v>20715</v>
      </c>
      <c r="J15" s="1785"/>
      <c r="K15" s="1785"/>
      <c r="L15" s="1785"/>
      <c r="M15" s="1785"/>
      <c r="N15" s="1785"/>
      <c r="O15" s="760"/>
      <c r="P15" s="1788"/>
      <c r="Q15" s="1785"/>
      <c r="R15" s="1785"/>
      <c r="S15" s="1785"/>
      <c r="T15" s="1785"/>
      <c r="U15" s="1785"/>
      <c r="V15" s="760"/>
      <c r="W15" s="1788">
        <v>568882</v>
      </c>
      <c r="X15" s="1785"/>
      <c r="Y15" s="1785"/>
      <c r="Z15" s="1785"/>
      <c r="AA15" s="1785"/>
      <c r="AB15" s="1785"/>
      <c r="AC15" s="760"/>
      <c r="AD15" s="1788">
        <v>336</v>
      </c>
      <c r="AE15" s="1785"/>
      <c r="AF15" s="1785"/>
      <c r="AG15" s="1785"/>
      <c r="AH15" s="1785"/>
      <c r="AI15" s="1785"/>
      <c r="AJ15" s="760"/>
      <c r="AK15" s="1788">
        <v>14298</v>
      </c>
      <c r="AL15" s="1785"/>
      <c r="AM15" s="1785"/>
      <c r="AN15" s="1785"/>
      <c r="AO15" s="1785"/>
      <c r="AP15" s="1785"/>
      <c r="AQ15" s="760"/>
      <c r="AR15" s="1788">
        <v>49053</v>
      </c>
      <c r="AS15" s="1785"/>
      <c r="AT15" s="1785"/>
      <c r="AU15" s="1785"/>
      <c r="AV15" s="1785"/>
      <c r="AW15" s="1785"/>
      <c r="AX15" s="760"/>
      <c r="AY15" s="1788">
        <v>1286</v>
      </c>
      <c r="AZ15" s="1785"/>
      <c r="BA15" s="1785"/>
      <c r="BB15" s="1785"/>
      <c r="BC15" s="1785"/>
      <c r="BD15" s="1785"/>
      <c r="BE15" s="760"/>
      <c r="BF15" s="1788">
        <v>824</v>
      </c>
      <c r="BG15" s="1785"/>
      <c r="BH15" s="1785"/>
      <c r="BI15" s="1785"/>
      <c r="BJ15" s="1785"/>
      <c r="BK15" s="1785"/>
      <c r="BL15" s="760"/>
      <c r="BM15" s="1788">
        <v>11138</v>
      </c>
      <c r="BN15" s="1785"/>
      <c r="BO15" s="1785"/>
      <c r="BP15" s="1785"/>
      <c r="BQ15" s="1785"/>
      <c r="BR15" s="1785"/>
      <c r="BS15" s="760"/>
      <c r="BT15" s="1788">
        <v>236466</v>
      </c>
      <c r="BU15" s="1785"/>
      <c r="BV15" s="1785"/>
      <c r="BW15" s="1785"/>
      <c r="BX15" s="1785"/>
      <c r="BY15" s="1785"/>
      <c r="BZ15" s="760"/>
      <c r="CA15" s="1788">
        <v>22256</v>
      </c>
      <c r="CB15" s="1785"/>
      <c r="CC15" s="1785"/>
      <c r="CD15" s="1785"/>
      <c r="CE15" s="1785"/>
      <c r="CF15" s="1785"/>
      <c r="CG15" s="760"/>
      <c r="CH15" s="1788">
        <v>1308</v>
      </c>
      <c r="CI15" s="1785"/>
      <c r="CJ15" s="1785"/>
      <c r="CK15" s="1785"/>
      <c r="CL15" s="1785"/>
      <c r="CM15" s="1785"/>
      <c r="CN15" s="760"/>
      <c r="CO15" s="1788">
        <v>11447</v>
      </c>
      <c r="CP15" s="1785"/>
      <c r="CQ15" s="1785"/>
      <c r="CR15" s="1785"/>
      <c r="CS15" s="1785"/>
      <c r="CT15" s="1785"/>
      <c r="CU15" s="760"/>
      <c r="CV15" s="1788">
        <v>68644</v>
      </c>
      <c r="CW15" s="1785"/>
      <c r="CX15" s="1785"/>
      <c r="CY15" s="1785"/>
      <c r="CZ15" s="1785"/>
      <c r="DA15" s="1785"/>
      <c r="DB15" s="760"/>
      <c r="DC15" s="1788">
        <v>501840</v>
      </c>
      <c r="DD15" s="1785"/>
      <c r="DE15" s="1785"/>
      <c r="DF15" s="1785"/>
      <c r="DG15" s="1785"/>
      <c r="DH15" s="1785"/>
      <c r="DI15" s="760"/>
      <c r="DJ15" s="1788">
        <v>5840</v>
      </c>
      <c r="DK15" s="1785"/>
      <c r="DL15" s="1785"/>
      <c r="DM15" s="1785"/>
      <c r="DN15" s="1785"/>
      <c r="DO15" s="1785"/>
      <c r="DP15" s="760"/>
      <c r="DQ15" s="1788">
        <v>345299</v>
      </c>
      <c r="DR15" s="1785"/>
      <c r="DS15" s="1785"/>
      <c r="DT15" s="1785"/>
      <c r="DU15" s="1785"/>
      <c r="DV15" s="1785"/>
      <c r="DW15" s="760"/>
      <c r="DX15" s="1788"/>
      <c r="DY15" s="1785"/>
      <c r="DZ15" s="1785"/>
      <c r="EA15" s="1785"/>
      <c r="EB15" s="1785"/>
      <c r="EC15" s="1785"/>
      <c r="ED15" s="760"/>
      <c r="EE15" s="1788">
        <v>225370</v>
      </c>
      <c r="EF15" s="1785"/>
      <c r="EG15" s="1785"/>
      <c r="EH15" s="1785"/>
      <c r="EI15" s="1785"/>
      <c r="EJ15" s="1785"/>
      <c r="EK15" s="760"/>
      <c r="EL15" s="1788">
        <v>35082</v>
      </c>
      <c r="EM15" s="1785"/>
      <c r="EN15" s="1785"/>
      <c r="EO15" s="1785"/>
      <c r="EP15" s="1785"/>
      <c r="EQ15" s="1785"/>
      <c r="ER15" s="760"/>
      <c r="ES15" s="1788">
        <v>98252</v>
      </c>
      <c r="ET15" s="1785"/>
      <c r="EU15" s="1785"/>
      <c r="EV15" s="1785"/>
      <c r="EW15" s="1785"/>
      <c r="EX15" s="1785"/>
      <c r="EY15" s="760"/>
      <c r="EZ15" s="1788">
        <v>116472</v>
      </c>
      <c r="FA15" s="1785"/>
      <c r="FB15" s="1785"/>
      <c r="FC15" s="1785"/>
      <c r="FD15" s="1785"/>
      <c r="FE15" s="1785"/>
      <c r="FF15" s="760"/>
      <c r="FG15" s="1788">
        <v>31065087</v>
      </c>
      <c r="FH15" s="1785"/>
      <c r="FI15" s="1785"/>
      <c r="FJ15" s="1785"/>
      <c r="FK15" s="1785"/>
      <c r="FL15" s="1785"/>
      <c r="FM15" s="760"/>
    </row>
    <row r="16" spans="1:169" ht="16.5">
      <c r="A16" s="13" t="s">
        <v>555</v>
      </c>
      <c r="B16" s="1788">
        <v>50689</v>
      </c>
      <c r="C16" s="1818"/>
      <c r="D16" s="1785"/>
      <c r="E16" s="1785"/>
      <c r="F16" s="1785"/>
      <c r="G16" s="1785"/>
      <c r="H16" s="760"/>
      <c r="I16" s="1788">
        <v>5800</v>
      </c>
      <c r="J16" s="1785"/>
      <c r="K16" s="1785"/>
      <c r="L16" s="1785"/>
      <c r="M16" s="1785"/>
      <c r="N16" s="1785"/>
      <c r="O16" s="760"/>
      <c r="P16" s="1788"/>
      <c r="Q16" s="1785"/>
      <c r="R16" s="1785"/>
      <c r="S16" s="1785"/>
      <c r="T16" s="1785"/>
      <c r="U16" s="1785"/>
      <c r="V16" s="760"/>
      <c r="W16" s="1788">
        <v>58740</v>
      </c>
      <c r="X16" s="1785"/>
      <c r="Y16" s="1785"/>
      <c r="Z16" s="1785"/>
      <c r="AA16" s="1785"/>
      <c r="AB16" s="1785"/>
      <c r="AC16" s="760"/>
      <c r="AD16" s="1788">
        <v>86417</v>
      </c>
      <c r="AE16" s="1785"/>
      <c r="AF16" s="1785"/>
      <c r="AG16" s="1785"/>
      <c r="AH16" s="1785"/>
      <c r="AI16" s="1785"/>
      <c r="AJ16" s="760"/>
      <c r="AK16" s="1788">
        <v>4087</v>
      </c>
      <c r="AL16" s="1785"/>
      <c r="AM16" s="1785"/>
      <c r="AN16" s="1785"/>
      <c r="AO16" s="1785"/>
      <c r="AP16" s="1785"/>
      <c r="AQ16" s="760"/>
      <c r="AR16" s="1788">
        <v>10218</v>
      </c>
      <c r="AS16" s="1785"/>
      <c r="AT16" s="1785"/>
      <c r="AU16" s="1785"/>
      <c r="AV16" s="1785"/>
      <c r="AW16" s="1785"/>
      <c r="AX16" s="760"/>
      <c r="AY16" s="1788">
        <v>13845</v>
      </c>
      <c r="AZ16" s="1785"/>
      <c r="BA16" s="1785"/>
      <c r="BB16" s="1785"/>
      <c r="BC16" s="1785"/>
      <c r="BD16" s="1785"/>
      <c r="BE16" s="760"/>
      <c r="BF16" s="1788">
        <v>38424</v>
      </c>
      <c r="BG16" s="1785"/>
      <c r="BH16" s="1785"/>
      <c r="BI16" s="1785"/>
      <c r="BJ16" s="1785"/>
      <c r="BK16" s="1785"/>
      <c r="BL16" s="760"/>
      <c r="BM16" s="1788">
        <v>9644</v>
      </c>
      <c r="BN16" s="1785"/>
      <c r="BO16" s="1785"/>
      <c r="BP16" s="1785"/>
      <c r="BQ16" s="1785"/>
      <c r="BR16" s="1785"/>
      <c r="BS16" s="760"/>
      <c r="BT16" s="1788">
        <v>203417</v>
      </c>
      <c r="BU16" s="1785"/>
      <c r="BV16" s="1785"/>
      <c r="BW16" s="1785"/>
      <c r="BX16" s="1785"/>
      <c r="BY16" s="1785"/>
      <c r="BZ16" s="760"/>
      <c r="CA16" s="1788">
        <v>163709</v>
      </c>
      <c r="CB16" s="1785"/>
      <c r="CC16" s="1785"/>
      <c r="CD16" s="1785"/>
      <c r="CE16" s="1785"/>
      <c r="CF16" s="1785"/>
      <c r="CG16" s="760"/>
      <c r="CH16" s="1788">
        <v>11397</v>
      </c>
      <c r="CI16" s="1785"/>
      <c r="CJ16" s="1785"/>
      <c r="CK16" s="1785"/>
      <c r="CL16" s="1785"/>
      <c r="CM16" s="1785"/>
      <c r="CN16" s="760"/>
      <c r="CO16" s="1788">
        <v>35001</v>
      </c>
      <c r="CP16" s="1785"/>
      <c r="CQ16" s="1785"/>
      <c r="CR16" s="1785"/>
      <c r="CS16" s="1785"/>
      <c r="CT16" s="1785"/>
      <c r="CU16" s="760"/>
      <c r="CV16" s="1788">
        <v>54355</v>
      </c>
      <c r="CW16" s="1785"/>
      <c r="CX16" s="1785"/>
      <c r="CY16" s="1785"/>
      <c r="CZ16" s="1785"/>
      <c r="DA16" s="1785"/>
      <c r="DB16" s="760"/>
      <c r="DC16" s="1788">
        <v>113535</v>
      </c>
      <c r="DD16" s="1785"/>
      <c r="DE16" s="1785"/>
      <c r="DF16" s="1785"/>
      <c r="DG16" s="1785"/>
      <c r="DH16" s="1785"/>
      <c r="DI16" s="760"/>
      <c r="DJ16" s="1788">
        <v>39504</v>
      </c>
      <c r="DK16" s="1785"/>
      <c r="DL16" s="1785"/>
      <c r="DM16" s="1785"/>
      <c r="DN16" s="1785"/>
      <c r="DO16" s="1785"/>
      <c r="DP16" s="760"/>
      <c r="DQ16" s="1788">
        <v>52780</v>
      </c>
      <c r="DR16" s="1785"/>
      <c r="DS16" s="1785"/>
      <c r="DT16" s="1785"/>
      <c r="DU16" s="1785"/>
      <c r="DV16" s="1785"/>
      <c r="DW16" s="760"/>
      <c r="DX16" s="1788"/>
      <c r="DY16" s="1785"/>
      <c r="DZ16" s="1785"/>
      <c r="EA16" s="1785"/>
      <c r="EB16" s="1785"/>
      <c r="EC16" s="1785"/>
      <c r="ED16" s="760"/>
      <c r="EE16" s="1788">
        <v>295306</v>
      </c>
      <c r="EF16" s="1785"/>
      <c r="EG16" s="1785"/>
      <c r="EH16" s="1785"/>
      <c r="EI16" s="1785"/>
      <c r="EJ16" s="1785"/>
      <c r="EK16" s="760"/>
      <c r="EL16" s="1788">
        <v>49668</v>
      </c>
      <c r="EM16" s="1785"/>
      <c r="EN16" s="1785"/>
      <c r="EO16" s="1785"/>
      <c r="EP16" s="1785"/>
      <c r="EQ16" s="1785"/>
      <c r="ER16" s="760"/>
      <c r="ES16" s="1788">
        <v>12966</v>
      </c>
      <c r="ET16" s="1785"/>
      <c r="EU16" s="1785"/>
      <c r="EV16" s="1785"/>
      <c r="EW16" s="1785"/>
      <c r="EX16" s="1785"/>
      <c r="EY16" s="760"/>
      <c r="EZ16" s="1788">
        <v>80111</v>
      </c>
      <c r="FA16" s="1785"/>
      <c r="FB16" s="1785"/>
      <c r="FC16" s="1785"/>
      <c r="FD16" s="1785"/>
      <c r="FE16" s="1785"/>
      <c r="FF16" s="760"/>
      <c r="FG16" s="1788">
        <v>3418044</v>
      </c>
      <c r="FH16" s="1785"/>
      <c r="FI16" s="1785"/>
      <c r="FJ16" s="1785"/>
      <c r="FK16" s="1785"/>
      <c r="FL16" s="1785"/>
      <c r="FM16" s="760"/>
    </row>
    <row r="17" spans="1:169" ht="16.5">
      <c r="A17" s="13" t="s">
        <v>554</v>
      </c>
      <c r="B17" s="1788">
        <v>1371</v>
      </c>
      <c r="C17" s="1818"/>
      <c r="D17" s="1785"/>
      <c r="E17" s="1785"/>
      <c r="F17" s="1785"/>
      <c r="G17" s="1785"/>
      <c r="H17" s="760"/>
      <c r="I17" s="1788">
        <v>3517</v>
      </c>
      <c r="J17" s="1785"/>
      <c r="K17" s="1785"/>
      <c r="L17" s="1785"/>
      <c r="M17" s="1785"/>
      <c r="N17" s="1785"/>
      <c r="O17" s="760"/>
      <c r="P17" s="1788"/>
      <c r="Q17" s="1785"/>
      <c r="R17" s="1785"/>
      <c r="S17" s="1785"/>
      <c r="T17" s="1785"/>
      <c r="U17" s="1785"/>
      <c r="V17" s="760"/>
      <c r="W17" s="1788">
        <v>108798</v>
      </c>
      <c r="X17" s="1785"/>
      <c r="Y17" s="1785"/>
      <c r="Z17" s="1785"/>
      <c r="AA17" s="1785"/>
      <c r="AB17" s="1785"/>
      <c r="AC17" s="760"/>
      <c r="AD17" s="1788">
        <v>357</v>
      </c>
      <c r="AE17" s="1785"/>
      <c r="AF17" s="1785"/>
      <c r="AG17" s="1785"/>
      <c r="AH17" s="1785"/>
      <c r="AI17" s="1785"/>
      <c r="AJ17" s="760"/>
      <c r="AK17" s="1788">
        <v>88</v>
      </c>
      <c r="AL17" s="1785"/>
      <c r="AM17" s="1785"/>
      <c r="AN17" s="1785"/>
      <c r="AO17" s="1785"/>
      <c r="AP17" s="1785"/>
      <c r="AQ17" s="760"/>
      <c r="AR17" s="1788">
        <v>18669</v>
      </c>
      <c r="AS17" s="1785"/>
      <c r="AT17" s="1785"/>
      <c r="AU17" s="1785"/>
      <c r="AV17" s="1785"/>
      <c r="AW17" s="1785"/>
      <c r="AX17" s="760"/>
      <c r="AY17" s="1788">
        <v>155</v>
      </c>
      <c r="AZ17" s="1785"/>
      <c r="BA17" s="1785"/>
      <c r="BB17" s="1785"/>
      <c r="BC17" s="1785"/>
      <c r="BD17" s="1785"/>
      <c r="BE17" s="760"/>
      <c r="BF17" s="1788">
        <v>963</v>
      </c>
      <c r="BG17" s="1785"/>
      <c r="BH17" s="1785"/>
      <c r="BI17" s="1785"/>
      <c r="BJ17" s="1785"/>
      <c r="BK17" s="1785"/>
      <c r="BL17" s="760"/>
      <c r="BM17" s="1788">
        <v>260</v>
      </c>
      <c r="BN17" s="1785"/>
      <c r="BO17" s="1785"/>
      <c r="BP17" s="1785"/>
      <c r="BQ17" s="1785"/>
      <c r="BR17" s="1785"/>
      <c r="BS17" s="760"/>
      <c r="BT17" s="1788">
        <v>305354</v>
      </c>
      <c r="BU17" s="1785"/>
      <c r="BV17" s="1785"/>
      <c r="BW17" s="1785"/>
      <c r="BX17" s="1785"/>
      <c r="BY17" s="1785"/>
      <c r="BZ17" s="760"/>
      <c r="CA17" s="1788">
        <v>55233</v>
      </c>
      <c r="CB17" s="1785"/>
      <c r="CC17" s="1785"/>
      <c r="CD17" s="1785"/>
      <c r="CE17" s="1785"/>
      <c r="CF17" s="1785"/>
      <c r="CG17" s="760"/>
      <c r="CH17" s="1788">
        <v>344</v>
      </c>
      <c r="CI17" s="1785"/>
      <c r="CJ17" s="1785"/>
      <c r="CK17" s="1785"/>
      <c r="CL17" s="1785"/>
      <c r="CM17" s="1785"/>
      <c r="CN17" s="760"/>
      <c r="CO17" s="1788">
        <v>3112</v>
      </c>
      <c r="CP17" s="1785"/>
      <c r="CQ17" s="1785"/>
      <c r="CR17" s="1785"/>
      <c r="CS17" s="1785"/>
      <c r="CT17" s="1785"/>
      <c r="CU17" s="760"/>
      <c r="CV17" s="1788">
        <v>19497</v>
      </c>
      <c r="CW17" s="1785"/>
      <c r="CX17" s="1785"/>
      <c r="CY17" s="1785"/>
      <c r="CZ17" s="1785"/>
      <c r="DA17" s="1785"/>
      <c r="DB17" s="760"/>
      <c r="DC17" s="1788">
        <v>159045</v>
      </c>
      <c r="DD17" s="1785"/>
      <c r="DE17" s="1785"/>
      <c r="DF17" s="1785"/>
      <c r="DG17" s="1785"/>
      <c r="DH17" s="1785"/>
      <c r="DI17" s="760"/>
      <c r="DJ17" s="1788">
        <v>1787</v>
      </c>
      <c r="DK17" s="1785"/>
      <c r="DL17" s="1785"/>
      <c r="DM17" s="1785"/>
      <c r="DN17" s="1785"/>
      <c r="DO17" s="1785"/>
      <c r="DP17" s="760"/>
      <c r="DQ17" s="1788">
        <v>62697</v>
      </c>
      <c r="DR17" s="1785"/>
      <c r="DS17" s="1785"/>
      <c r="DT17" s="1785"/>
      <c r="DU17" s="1785"/>
      <c r="DV17" s="1785"/>
      <c r="DW17" s="760"/>
      <c r="DX17" s="1788"/>
      <c r="DY17" s="1785"/>
      <c r="DZ17" s="1785"/>
      <c r="EA17" s="1785"/>
      <c r="EB17" s="1785"/>
      <c r="EC17" s="1785"/>
      <c r="ED17" s="760"/>
      <c r="EE17" s="1788">
        <v>235317</v>
      </c>
      <c r="EF17" s="1785"/>
      <c r="EG17" s="1785"/>
      <c r="EH17" s="1785"/>
      <c r="EI17" s="1785"/>
      <c r="EJ17" s="1785"/>
      <c r="EK17" s="760"/>
      <c r="EL17" s="1788">
        <v>7900</v>
      </c>
      <c r="EM17" s="1785"/>
      <c r="EN17" s="1785"/>
      <c r="EO17" s="1785"/>
      <c r="EP17" s="1785"/>
      <c r="EQ17" s="1785"/>
      <c r="ER17" s="760"/>
      <c r="ES17" s="1788">
        <v>15528</v>
      </c>
      <c r="ET17" s="1785"/>
      <c r="EU17" s="1785"/>
      <c r="EV17" s="1785"/>
      <c r="EW17" s="1785"/>
      <c r="EX17" s="1785"/>
      <c r="EY17" s="760"/>
      <c r="EZ17" s="1788">
        <v>121032</v>
      </c>
      <c r="FA17" s="1785"/>
      <c r="FB17" s="1785"/>
      <c r="FC17" s="1785"/>
      <c r="FD17" s="1785"/>
      <c r="FE17" s="1785"/>
      <c r="FF17" s="760"/>
      <c r="FG17" s="1788">
        <v>4919059</v>
      </c>
      <c r="FH17" s="1785"/>
      <c r="FI17" s="1785"/>
      <c r="FJ17" s="1785"/>
      <c r="FK17" s="1785"/>
      <c r="FL17" s="1785"/>
      <c r="FM17" s="760"/>
    </row>
    <row r="18" spans="1:169" ht="16.5">
      <c r="A18" s="13" t="s">
        <v>553</v>
      </c>
      <c r="B18" s="1788">
        <v>174</v>
      </c>
      <c r="C18" s="1818"/>
      <c r="D18" s="1785"/>
      <c r="E18" s="1785"/>
      <c r="F18" s="1785"/>
      <c r="G18" s="1785"/>
      <c r="H18" s="760"/>
      <c r="I18" s="1788">
        <v>443</v>
      </c>
      <c r="J18" s="1785"/>
      <c r="K18" s="1785"/>
      <c r="L18" s="1785"/>
      <c r="M18" s="1785"/>
      <c r="N18" s="1785"/>
      <c r="O18" s="760"/>
      <c r="P18" s="1788"/>
      <c r="Q18" s="1785"/>
      <c r="R18" s="1785"/>
      <c r="S18" s="1785"/>
      <c r="T18" s="1785"/>
      <c r="U18" s="1785"/>
      <c r="V18" s="760"/>
      <c r="W18" s="1788">
        <v>60.27</v>
      </c>
      <c r="X18" s="1785"/>
      <c r="Y18" s="1785"/>
      <c r="Z18" s="1785"/>
      <c r="AA18" s="1785"/>
      <c r="AB18" s="1785"/>
      <c r="AC18" s="760"/>
      <c r="AD18" s="1788">
        <v>203</v>
      </c>
      <c r="AE18" s="1785"/>
      <c r="AF18" s="1785"/>
      <c r="AG18" s="1785"/>
      <c r="AH18" s="1785"/>
      <c r="AI18" s="1785"/>
      <c r="AJ18" s="760"/>
      <c r="AK18" s="1788">
        <v>22</v>
      </c>
      <c r="AL18" s="1785"/>
      <c r="AM18" s="1785"/>
      <c r="AN18" s="1785"/>
      <c r="AO18" s="1785"/>
      <c r="AP18" s="1785"/>
      <c r="AQ18" s="760"/>
      <c r="AR18" s="1788">
        <v>163</v>
      </c>
      <c r="AS18" s="1785"/>
      <c r="AT18" s="1785"/>
      <c r="AU18" s="1785"/>
      <c r="AV18" s="1785"/>
      <c r="AW18" s="1785"/>
      <c r="AX18" s="760"/>
      <c r="AY18" s="1788"/>
      <c r="AZ18" s="1785"/>
      <c r="BA18" s="1785"/>
      <c r="BB18" s="1785"/>
      <c r="BC18" s="1785"/>
      <c r="BD18" s="1785"/>
      <c r="BE18" s="760"/>
      <c r="BF18" s="1788">
        <v>1</v>
      </c>
      <c r="BG18" s="1785"/>
      <c r="BH18" s="1785"/>
      <c r="BI18" s="1785"/>
      <c r="BJ18" s="1785"/>
      <c r="BK18" s="1785"/>
      <c r="BL18" s="760"/>
      <c r="BM18" s="1788">
        <v>977</v>
      </c>
      <c r="BN18" s="1785"/>
      <c r="BO18" s="1785"/>
      <c r="BP18" s="1785"/>
      <c r="BQ18" s="1785"/>
      <c r="BR18" s="1785"/>
      <c r="BS18" s="760"/>
      <c r="BT18" s="1788">
        <v>59</v>
      </c>
      <c r="BU18" s="1785"/>
      <c r="BV18" s="1785"/>
      <c r="BW18" s="1785"/>
      <c r="BX18" s="1785"/>
      <c r="BY18" s="1785"/>
      <c r="BZ18" s="760"/>
      <c r="CA18" s="1788">
        <v>75</v>
      </c>
      <c r="CB18" s="1785"/>
      <c r="CC18" s="1785"/>
      <c r="CD18" s="1785"/>
      <c r="CE18" s="1785"/>
      <c r="CF18" s="1785"/>
      <c r="CG18" s="760"/>
      <c r="CH18" s="1788">
        <v>166</v>
      </c>
      <c r="CI18" s="1785"/>
      <c r="CJ18" s="1785"/>
      <c r="CK18" s="1785"/>
      <c r="CL18" s="1785"/>
      <c r="CM18" s="1785"/>
      <c r="CN18" s="760"/>
      <c r="CO18" s="1788">
        <v>869.4</v>
      </c>
      <c r="CP18" s="1785"/>
      <c r="CQ18" s="1785"/>
      <c r="CR18" s="1785"/>
      <c r="CS18" s="1785"/>
      <c r="CT18" s="1785"/>
      <c r="CU18" s="760"/>
      <c r="CV18" s="1788">
        <v>48.57</v>
      </c>
      <c r="CW18" s="1785"/>
      <c r="CX18" s="1785"/>
      <c r="CY18" s="1785"/>
      <c r="CZ18" s="1785"/>
      <c r="DA18" s="1785"/>
      <c r="DB18" s="760"/>
      <c r="DC18" s="1788">
        <v>91</v>
      </c>
      <c r="DD18" s="1785"/>
      <c r="DE18" s="1785"/>
      <c r="DF18" s="1785"/>
      <c r="DG18" s="1785"/>
      <c r="DH18" s="1785"/>
      <c r="DI18" s="760"/>
      <c r="DJ18" s="1788">
        <v>158</v>
      </c>
      <c r="DK18" s="1785"/>
      <c r="DL18" s="1785"/>
      <c r="DM18" s="1785"/>
      <c r="DN18" s="1785"/>
      <c r="DO18" s="1785"/>
      <c r="DP18" s="760"/>
      <c r="DQ18" s="1788">
        <v>92.08</v>
      </c>
      <c r="DR18" s="1785"/>
      <c r="DS18" s="1785"/>
      <c r="DT18" s="1785"/>
      <c r="DU18" s="1785"/>
      <c r="DV18" s="1785"/>
      <c r="DW18" s="760"/>
      <c r="DX18" s="1788"/>
      <c r="DY18" s="1785"/>
      <c r="DZ18" s="1785"/>
      <c r="EA18" s="1785"/>
      <c r="EB18" s="1785"/>
      <c r="EC18" s="1785"/>
      <c r="ED18" s="760"/>
      <c r="EE18" s="1788">
        <v>29.73</v>
      </c>
      <c r="EF18" s="1785"/>
      <c r="EG18" s="1785"/>
      <c r="EH18" s="1785"/>
      <c r="EI18" s="1785"/>
      <c r="EJ18" s="1785"/>
      <c r="EK18" s="760"/>
      <c r="EL18" s="1788">
        <v>18.72</v>
      </c>
      <c r="EM18" s="1785"/>
      <c r="EN18" s="1785"/>
      <c r="EO18" s="1785"/>
      <c r="EP18" s="1785"/>
      <c r="EQ18" s="1785"/>
      <c r="ER18" s="760"/>
      <c r="ES18" s="1788">
        <v>295</v>
      </c>
      <c r="ET18" s="1785"/>
      <c r="EU18" s="1785"/>
      <c r="EV18" s="1785"/>
      <c r="EW18" s="1785"/>
      <c r="EX18" s="1785"/>
      <c r="EY18" s="760"/>
      <c r="EZ18" s="1788">
        <v>97</v>
      </c>
      <c r="FA18" s="1785"/>
      <c r="FB18" s="1785"/>
      <c r="FC18" s="1785"/>
      <c r="FD18" s="1785"/>
      <c r="FE18" s="1785"/>
      <c r="FF18" s="760"/>
      <c r="FG18" s="1788">
        <v>57.99</v>
      </c>
      <c r="FH18" s="1785"/>
      <c r="FI18" s="1785"/>
      <c r="FJ18" s="1785"/>
      <c r="FK18" s="1785"/>
      <c r="FL18" s="1785"/>
      <c r="FM18" s="760"/>
    </row>
    <row r="19" spans="1:169" ht="17.25" thickBot="1">
      <c r="A19" s="1798" t="s">
        <v>552</v>
      </c>
      <c r="B19" s="1799">
        <v>102</v>
      </c>
      <c r="C19" s="1819"/>
      <c r="D19" s="1797"/>
      <c r="E19" s="1791"/>
      <c r="F19" s="1791"/>
      <c r="G19" s="1791"/>
      <c r="H19" s="1793"/>
      <c r="I19" s="1799">
        <v>28</v>
      </c>
      <c r="J19" s="1797"/>
      <c r="K19" s="1797"/>
      <c r="L19" s="1791"/>
      <c r="M19" s="1791"/>
      <c r="N19" s="1791"/>
      <c r="O19" s="1793"/>
      <c r="P19" s="1799"/>
      <c r="Q19" s="1797"/>
      <c r="R19" s="1797"/>
      <c r="S19" s="1791"/>
      <c r="T19" s="1791"/>
      <c r="U19" s="1791"/>
      <c r="V19" s="1793"/>
      <c r="W19" s="1799">
        <v>4.69</v>
      </c>
      <c r="X19" s="1797"/>
      <c r="Y19" s="1797"/>
      <c r="Z19" s="1791"/>
      <c r="AA19" s="1791"/>
      <c r="AB19" s="1791"/>
      <c r="AC19" s="1793"/>
      <c r="AD19" s="1799">
        <v>56</v>
      </c>
      <c r="AE19" s="1797"/>
      <c r="AF19" s="1797"/>
      <c r="AG19" s="1791"/>
      <c r="AH19" s="1791"/>
      <c r="AI19" s="1791"/>
      <c r="AJ19" s="1793"/>
      <c r="AK19" s="1799"/>
      <c r="AL19" s="1797"/>
      <c r="AM19" s="1797"/>
      <c r="AN19" s="1791"/>
      <c r="AO19" s="1791"/>
      <c r="AP19" s="1791"/>
      <c r="AQ19" s="1793"/>
      <c r="AR19" s="1799">
        <v>2</v>
      </c>
      <c r="AS19" s="1797"/>
      <c r="AT19" s="1797"/>
      <c r="AU19" s="1791"/>
      <c r="AV19" s="1791"/>
      <c r="AW19" s="1791"/>
      <c r="AX19" s="1793"/>
      <c r="AY19" s="1799"/>
      <c r="AZ19" s="1797"/>
      <c r="BA19" s="1797"/>
      <c r="BB19" s="1791"/>
      <c r="BC19" s="1791"/>
      <c r="BD19" s="1791"/>
      <c r="BE19" s="1793"/>
      <c r="BF19" s="1799">
        <v>42</v>
      </c>
      <c r="BG19" s="1797"/>
      <c r="BH19" s="1797"/>
      <c r="BI19" s="1791"/>
      <c r="BJ19" s="1791"/>
      <c r="BK19" s="1791"/>
      <c r="BL19" s="1793"/>
      <c r="BM19" s="1799">
        <v>115</v>
      </c>
      <c r="BN19" s="1797"/>
      <c r="BO19" s="1797"/>
      <c r="BP19" s="1791"/>
      <c r="BQ19" s="1791"/>
      <c r="BR19" s="1791"/>
      <c r="BS19" s="1793"/>
      <c r="BT19" s="1799">
        <v>2</v>
      </c>
      <c r="BU19" s="1797"/>
      <c r="BV19" s="1797"/>
      <c r="BW19" s="1791"/>
      <c r="BX19" s="1791"/>
      <c r="BY19" s="1791"/>
      <c r="BZ19" s="1793"/>
      <c r="CA19" s="1799">
        <v>14</v>
      </c>
      <c r="CB19" s="1797"/>
      <c r="CC19" s="1797"/>
      <c r="CD19" s="1791"/>
      <c r="CE19" s="1791"/>
      <c r="CF19" s="1791"/>
      <c r="CG19" s="1793"/>
      <c r="CH19" s="1799">
        <v>378</v>
      </c>
      <c r="CI19" s="1797"/>
      <c r="CJ19" s="1797"/>
      <c r="CK19" s="1791"/>
      <c r="CL19" s="1791"/>
      <c r="CM19" s="1791"/>
      <c r="CN19" s="1793"/>
      <c r="CO19" s="1799">
        <v>12.85</v>
      </c>
      <c r="CP19" s="1797"/>
      <c r="CQ19" s="1797"/>
      <c r="CR19" s="1791"/>
      <c r="CS19" s="1791"/>
      <c r="CT19" s="1791"/>
      <c r="CU19" s="1793"/>
      <c r="CV19" s="1799">
        <v>8.21</v>
      </c>
      <c r="CW19" s="1797"/>
      <c r="CX19" s="1797"/>
      <c r="CY19" s="1791"/>
      <c r="CZ19" s="1791"/>
      <c r="DA19" s="1791"/>
      <c r="DB19" s="1793"/>
      <c r="DC19" s="1799">
        <v>6</v>
      </c>
      <c r="DD19" s="1797"/>
      <c r="DE19" s="1797"/>
      <c r="DF19" s="1791"/>
      <c r="DG19" s="1791"/>
      <c r="DH19" s="1791"/>
      <c r="DI19" s="1793"/>
      <c r="DJ19" s="1799">
        <v>95</v>
      </c>
      <c r="DK19" s="1797"/>
      <c r="DL19" s="1797"/>
      <c r="DM19" s="1791"/>
      <c r="DN19" s="1791"/>
      <c r="DO19" s="1791"/>
      <c r="DP19" s="1793"/>
      <c r="DQ19" s="1799">
        <v>4.47</v>
      </c>
      <c r="DR19" s="1797"/>
      <c r="DS19" s="1797"/>
      <c r="DT19" s="1791"/>
      <c r="DU19" s="1791"/>
      <c r="DV19" s="1791"/>
      <c r="DW19" s="1793"/>
      <c r="DX19" s="1799"/>
      <c r="DY19" s="1797"/>
      <c r="DZ19" s="1797"/>
      <c r="EA19" s="1791"/>
      <c r="EB19" s="1791"/>
      <c r="EC19" s="1791"/>
      <c r="ED19" s="1793"/>
      <c r="EE19" s="1799">
        <v>3.95</v>
      </c>
      <c r="EF19" s="1797"/>
      <c r="EG19" s="1797"/>
      <c r="EH19" s="1791"/>
      <c r="EI19" s="1791"/>
      <c r="EJ19" s="1791"/>
      <c r="EK19" s="1793"/>
      <c r="EL19" s="1799">
        <v>8.86</v>
      </c>
      <c r="EM19" s="1797"/>
      <c r="EN19" s="1797"/>
      <c r="EO19" s="1791"/>
      <c r="EP19" s="1791"/>
      <c r="EQ19" s="1791"/>
      <c r="ER19" s="1793"/>
      <c r="ES19" s="1799">
        <v>12</v>
      </c>
      <c r="ET19" s="1797"/>
      <c r="EU19" s="1797"/>
      <c r="EV19" s="1791"/>
      <c r="EW19" s="1791"/>
      <c r="EX19" s="1791"/>
      <c r="EY19" s="1793"/>
      <c r="EZ19" s="1799">
        <v>2</v>
      </c>
      <c r="FA19" s="1797"/>
      <c r="FB19" s="1797"/>
      <c r="FC19" s="1791"/>
      <c r="FD19" s="1791"/>
      <c r="FE19" s="1791"/>
      <c r="FF19" s="1793"/>
      <c r="FG19" s="1799">
        <v>17.09</v>
      </c>
      <c r="FH19" s="1797"/>
      <c r="FI19" s="1797"/>
      <c r="FJ19" s="1791"/>
      <c r="FK19" s="1791"/>
      <c r="FL19" s="1791"/>
      <c r="FM19" s="1793"/>
    </row>
    <row r="20" spans="1:169" ht="100.5" thickBot="1">
      <c r="A20" s="1802" t="s">
        <v>551</v>
      </c>
      <c r="B20" s="1805" t="s">
        <v>533</v>
      </c>
      <c r="C20" s="1820" t="s">
        <v>546</v>
      </c>
      <c r="D20" s="1804" t="s">
        <v>54</v>
      </c>
      <c r="E20" s="1778"/>
      <c r="F20" s="139"/>
      <c r="G20" s="139"/>
      <c r="H20" s="139"/>
      <c r="I20" s="1805" t="s">
        <v>533</v>
      </c>
      <c r="J20" s="1805" t="s">
        <v>546</v>
      </c>
      <c r="K20" s="1804" t="s">
        <v>54</v>
      </c>
      <c r="L20" s="1778"/>
      <c r="M20" s="139"/>
      <c r="N20" s="139"/>
      <c r="O20" s="139"/>
      <c r="P20" s="1805" t="s">
        <v>533</v>
      </c>
      <c r="Q20" s="1805" t="s">
        <v>546</v>
      </c>
      <c r="R20" s="1804" t="s">
        <v>54</v>
      </c>
      <c r="S20" s="1778"/>
      <c r="T20" s="139"/>
      <c r="U20" s="139"/>
      <c r="V20" s="139"/>
      <c r="W20" s="1805" t="s">
        <v>533</v>
      </c>
      <c r="X20" s="1805" t="s">
        <v>546</v>
      </c>
      <c r="Y20" s="1804" t="s">
        <v>54</v>
      </c>
      <c r="Z20" s="1778"/>
      <c r="AA20" s="139"/>
      <c r="AB20" s="139"/>
      <c r="AC20" s="139"/>
      <c r="AD20" s="1805" t="s">
        <v>533</v>
      </c>
      <c r="AE20" s="1805" t="s">
        <v>546</v>
      </c>
      <c r="AF20" s="1804" t="s">
        <v>54</v>
      </c>
      <c r="AG20" s="1778"/>
      <c r="AH20" s="139"/>
      <c r="AI20" s="139"/>
      <c r="AJ20" s="139"/>
      <c r="AK20" s="1805" t="s">
        <v>533</v>
      </c>
      <c r="AL20" s="1805" t="s">
        <v>546</v>
      </c>
      <c r="AM20" s="1804" t="s">
        <v>54</v>
      </c>
      <c r="AN20" s="1778"/>
      <c r="AO20" s="139"/>
      <c r="AP20" s="139"/>
      <c r="AQ20" s="139"/>
      <c r="AR20" s="1805" t="s">
        <v>533</v>
      </c>
      <c r="AS20" s="1805" t="s">
        <v>546</v>
      </c>
      <c r="AT20" s="1804" t="s">
        <v>54</v>
      </c>
      <c r="AU20" s="1778"/>
      <c r="AV20" s="139"/>
      <c r="AW20" s="139"/>
      <c r="AX20" s="139"/>
      <c r="AY20" s="1805" t="s">
        <v>533</v>
      </c>
      <c r="AZ20" s="1805" t="s">
        <v>546</v>
      </c>
      <c r="BA20" s="1804" t="s">
        <v>54</v>
      </c>
      <c r="BB20" s="1778"/>
      <c r="BC20" s="139"/>
      <c r="BD20" s="139"/>
      <c r="BE20" s="139"/>
      <c r="BF20" s="1805" t="s">
        <v>533</v>
      </c>
      <c r="BG20" s="1805" t="s">
        <v>546</v>
      </c>
      <c r="BH20" s="1804" t="s">
        <v>54</v>
      </c>
      <c r="BI20" s="1778"/>
      <c r="BJ20" s="139"/>
      <c r="BK20" s="139"/>
      <c r="BL20" s="139"/>
      <c r="BM20" s="1805" t="s">
        <v>533</v>
      </c>
      <c r="BN20" s="1805" t="s">
        <v>546</v>
      </c>
      <c r="BO20" s="1804" t="s">
        <v>54</v>
      </c>
      <c r="BP20" s="1778"/>
      <c r="BQ20" s="139"/>
      <c r="BR20" s="139"/>
      <c r="BS20" s="139"/>
      <c r="BT20" s="1805" t="s">
        <v>533</v>
      </c>
      <c r="BU20" s="1805" t="s">
        <v>546</v>
      </c>
      <c r="BV20" s="1804" t="s">
        <v>54</v>
      </c>
      <c r="BW20" s="1778"/>
      <c r="BX20" s="139"/>
      <c r="BY20" s="139"/>
      <c r="BZ20" s="139"/>
      <c r="CA20" s="1805" t="s">
        <v>533</v>
      </c>
      <c r="CB20" s="1805" t="s">
        <v>546</v>
      </c>
      <c r="CC20" s="1804" t="s">
        <v>54</v>
      </c>
      <c r="CD20" s="1778"/>
      <c r="CE20" s="139"/>
      <c r="CF20" s="139"/>
      <c r="CG20" s="139"/>
      <c r="CH20" s="1805" t="s">
        <v>533</v>
      </c>
      <c r="CI20" s="1805" t="s">
        <v>546</v>
      </c>
      <c r="CJ20" s="1804" t="s">
        <v>54</v>
      </c>
      <c r="CK20" s="1778"/>
      <c r="CL20" s="139"/>
      <c r="CM20" s="139"/>
      <c r="CN20" s="139"/>
      <c r="CO20" s="1805" t="s">
        <v>533</v>
      </c>
      <c r="CP20" s="1805" t="s">
        <v>546</v>
      </c>
      <c r="CQ20" s="1804" t="s">
        <v>54</v>
      </c>
      <c r="CR20" s="1778"/>
      <c r="CS20" s="139"/>
      <c r="CT20" s="139"/>
      <c r="CU20" s="139"/>
      <c r="CV20" s="1805" t="s">
        <v>533</v>
      </c>
      <c r="CW20" s="1805" t="s">
        <v>546</v>
      </c>
      <c r="CX20" s="1804" t="s">
        <v>54</v>
      </c>
      <c r="CY20" s="1778"/>
      <c r="CZ20" s="139"/>
      <c r="DA20" s="139"/>
      <c r="DB20" s="139"/>
      <c r="DC20" s="1805" t="s">
        <v>533</v>
      </c>
      <c r="DD20" s="1805" t="s">
        <v>546</v>
      </c>
      <c r="DE20" s="1804" t="s">
        <v>54</v>
      </c>
      <c r="DF20" s="1778"/>
      <c r="DG20" s="139"/>
      <c r="DH20" s="139"/>
      <c r="DI20" s="139"/>
      <c r="DJ20" s="1805" t="s">
        <v>533</v>
      </c>
      <c r="DK20" s="1805" t="s">
        <v>546</v>
      </c>
      <c r="DL20" s="1804" t="s">
        <v>54</v>
      </c>
      <c r="DM20" s="1778"/>
      <c r="DN20" s="139"/>
      <c r="DO20" s="139"/>
      <c r="DP20" s="139"/>
      <c r="DQ20" s="1805" t="s">
        <v>533</v>
      </c>
      <c r="DR20" s="1805" t="s">
        <v>546</v>
      </c>
      <c r="DS20" s="1804" t="s">
        <v>54</v>
      </c>
      <c r="DT20" s="1778"/>
      <c r="DU20" s="139"/>
      <c r="DV20" s="139"/>
      <c r="DW20" s="139"/>
      <c r="DX20" s="1805" t="s">
        <v>533</v>
      </c>
      <c r="DY20" s="1805" t="s">
        <v>546</v>
      </c>
      <c r="DZ20" s="1804" t="s">
        <v>54</v>
      </c>
      <c r="EA20" s="1778"/>
      <c r="EB20" s="139"/>
      <c r="EC20" s="139"/>
      <c r="ED20" s="139"/>
      <c r="EE20" s="1805" t="s">
        <v>533</v>
      </c>
      <c r="EF20" s="1805" t="s">
        <v>546</v>
      </c>
      <c r="EG20" s="1804" t="s">
        <v>54</v>
      </c>
      <c r="EH20" s="1778"/>
      <c r="EI20" s="139"/>
      <c r="EJ20" s="139"/>
      <c r="EK20" s="139"/>
      <c r="EL20" s="1805" t="s">
        <v>533</v>
      </c>
      <c r="EM20" s="1805" t="s">
        <v>546</v>
      </c>
      <c r="EN20" s="1804" t="s">
        <v>54</v>
      </c>
      <c r="EO20" s="1778"/>
      <c r="EP20" s="139"/>
      <c r="EQ20" s="139"/>
      <c r="ER20" s="139"/>
      <c r="ES20" s="1805" t="s">
        <v>533</v>
      </c>
      <c r="ET20" s="1805" t="s">
        <v>546</v>
      </c>
      <c r="EU20" s="1804" t="s">
        <v>54</v>
      </c>
      <c r="EV20" s="1778"/>
      <c r="EW20" s="139"/>
      <c r="EX20" s="139"/>
      <c r="EY20" s="139"/>
      <c r="EZ20" s="1805" t="s">
        <v>533</v>
      </c>
      <c r="FA20" s="1805" t="s">
        <v>546</v>
      </c>
      <c r="FB20" s="1804" t="s">
        <v>54</v>
      </c>
      <c r="FC20" s="1778"/>
      <c r="FD20" s="139"/>
      <c r="FE20" s="139"/>
      <c r="FF20" s="139"/>
      <c r="FG20" s="1805" t="s">
        <v>533</v>
      </c>
      <c r="FH20" s="1805" t="s">
        <v>546</v>
      </c>
      <c r="FI20" s="1804" t="s">
        <v>54</v>
      </c>
      <c r="FJ20" s="1778"/>
      <c r="FK20" s="139"/>
      <c r="FL20" s="139"/>
      <c r="FM20" s="139"/>
    </row>
    <row r="21" spans="1:169" ht="16.5">
      <c r="A21" s="1808" t="s">
        <v>565</v>
      </c>
      <c r="B21" s="1810">
        <v>12</v>
      </c>
      <c r="C21" s="1817"/>
      <c r="D21" s="1814">
        <f aca="true" t="shared" si="29" ref="D21:D26">B21+C21</f>
        <v>12</v>
      </c>
      <c r="E21" s="139"/>
      <c r="F21" s="1781"/>
      <c r="G21" s="139"/>
      <c r="H21" s="139"/>
      <c r="I21" s="1801"/>
      <c r="J21" s="1794"/>
      <c r="K21" s="1740"/>
      <c r="L21" s="139"/>
      <c r="M21" s="1781"/>
      <c r="N21" s="139"/>
      <c r="O21" s="139"/>
      <c r="P21" s="1801">
        <v>43</v>
      </c>
      <c r="Q21" s="1794"/>
      <c r="R21" s="1740">
        <v>43</v>
      </c>
      <c r="S21" s="139"/>
      <c r="T21" s="1781"/>
      <c r="U21" s="139"/>
      <c r="V21" s="139"/>
      <c r="W21" s="1801">
        <v>21</v>
      </c>
      <c r="X21" s="1794"/>
      <c r="Y21" s="1740">
        <v>21</v>
      </c>
      <c r="Z21" s="139"/>
      <c r="AA21" s="1781"/>
      <c r="AB21" s="139"/>
      <c r="AC21" s="139"/>
      <c r="AD21" s="1801">
        <v>3</v>
      </c>
      <c r="AE21" s="1794"/>
      <c r="AF21" s="1740">
        <v>3</v>
      </c>
      <c r="AG21" s="139"/>
      <c r="AH21" s="1781"/>
      <c r="AI21" s="139"/>
      <c r="AJ21" s="139"/>
      <c r="AK21" s="1801">
        <v>11</v>
      </c>
      <c r="AL21" s="1794"/>
      <c r="AM21" s="1740">
        <v>11</v>
      </c>
      <c r="AN21" s="139"/>
      <c r="AO21" s="1781"/>
      <c r="AP21" s="139"/>
      <c r="AQ21" s="139"/>
      <c r="AR21" s="1801"/>
      <c r="AS21" s="1794"/>
      <c r="AT21" s="1740"/>
      <c r="AU21" s="139"/>
      <c r="AV21" s="1781"/>
      <c r="AW21" s="139"/>
      <c r="AX21" s="139"/>
      <c r="AY21" s="1801">
        <v>3</v>
      </c>
      <c r="AZ21" s="1794"/>
      <c r="BA21" s="1740">
        <v>3</v>
      </c>
      <c r="BB21" s="139"/>
      <c r="BC21" s="1781"/>
      <c r="BD21" s="139"/>
      <c r="BE21" s="139"/>
      <c r="BF21" s="1801"/>
      <c r="BG21" s="1794"/>
      <c r="BH21" s="1740"/>
      <c r="BI21" s="139"/>
      <c r="BJ21" s="1781"/>
      <c r="BK21" s="139"/>
      <c r="BL21" s="139"/>
      <c r="BM21" s="1801">
        <v>22</v>
      </c>
      <c r="BN21" s="1794"/>
      <c r="BO21" s="1740">
        <v>22</v>
      </c>
      <c r="BP21" s="139"/>
      <c r="BQ21" s="1781"/>
      <c r="BR21" s="139"/>
      <c r="BS21" s="139"/>
      <c r="BT21" s="1801">
        <v>25</v>
      </c>
      <c r="BU21" s="1794"/>
      <c r="BV21" s="1740">
        <v>25</v>
      </c>
      <c r="BW21" s="139"/>
      <c r="BX21" s="1781"/>
      <c r="BY21" s="139"/>
      <c r="BZ21" s="139"/>
      <c r="CA21" s="1801">
        <v>3</v>
      </c>
      <c r="CB21" s="1794"/>
      <c r="CC21" s="1740">
        <v>3</v>
      </c>
      <c r="CD21" s="139"/>
      <c r="CE21" s="1781"/>
      <c r="CF21" s="139"/>
      <c r="CG21" s="139"/>
      <c r="CH21" s="1801">
        <v>1</v>
      </c>
      <c r="CI21" s="1794"/>
      <c r="CJ21" s="1740">
        <v>1</v>
      </c>
      <c r="CK21" s="139"/>
      <c r="CL21" s="1781"/>
      <c r="CM21" s="139"/>
      <c r="CN21" s="139"/>
      <c r="CO21" s="1801">
        <v>70</v>
      </c>
      <c r="CP21" s="1794"/>
      <c r="CQ21" s="1740">
        <v>70</v>
      </c>
      <c r="CR21" s="139"/>
      <c r="CS21" s="1781"/>
      <c r="CT21" s="139"/>
      <c r="CU21" s="139"/>
      <c r="CV21" s="1801">
        <v>21</v>
      </c>
      <c r="CW21" s="1794"/>
      <c r="CX21" s="1740">
        <v>21</v>
      </c>
      <c r="CY21" s="139"/>
      <c r="CZ21" s="1781"/>
      <c r="DA21" s="139"/>
      <c r="DB21" s="139"/>
      <c r="DC21" s="1801"/>
      <c r="DD21" s="1794"/>
      <c r="DE21" s="1740"/>
      <c r="DF21" s="139"/>
      <c r="DG21" s="1781"/>
      <c r="DH21" s="139"/>
      <c r="DI21" s="139"/>
      <c r="DJ21" s="1801">
        <v>34</v>
      </c>
      <c r="DK21" s="1794"/>
      <c r="DL21" s="1740">
        <v>34</v>
      </c>
      <c r="DM21" s="139"/>
      <c r="DN21" s="1781"/>
      <c r="DO21" s="139"/>
      <c r="DP21" s="139"/>
      <c r="DQ21" s="1801">
        <v>17</v>
      </c>
      <c r="DR21" s="1794"/>
      <c r="DS21" s="1740">
        <v>17</v>
      </c>
      <c r="DT21" s="139"/>
      <c r="DU21" s="1781"/>
      <c r="DV21" s="139"/>
      <c r="DW21" s="139"/>
      <c r="DX21" s="1801"/>
      <c r="DY21" s="1794"/>
      <c r="DZ21" s="1740"/>
      <c r="EA21" s="139"/>
      <c r="EB21" s="1781"/>
      <c r="EC21" s="139"/>
      <c r="ED21" s="139"/>
      <c r="EE21" s="1801"/>
      <c r="EF21" s="1794"/>
      <c r="EG21" s="1740"/>
      <c r="EH21" s="139"/>
      <c r="EI21" s="1781"/>
      <c r="EJ21" s="139"/>
      <c r="EK21" s="139"/>
      <c r="EL21" s="1801">
        <v>7</v>
      </c>
      <c r="EM21" s="1794"/>
      <c r="EN21" s="1740">
        <v>7</v>
      </c>
      <c r="EO21" s="139"/>
      <c r="EP21" s="1781"/>
      <c r="EQ21" s="139"/>
      <c r="ER21" s="139"/>
      <c r="ES21" s="1801">
        <v>23</v>
      </c>
      <c r="ET21" s="1794"/>
      <c r="EU21" s="1740">
        <v>23</v>
      </c>
      <c r="EV21" s="139"/>
      <c r="EW21" s="1781"/>
      <c r="EX21" s="139"/>
      <c r="EY21" s="139"/>
      <c r="EZ21" s="1801"/>
      <c r="FA21" s="1794"/>
      <c r="FB21" s="1740"/>
      <c r="FC21" s="139"/>
      <c r="FD21" s="1781"/>
      <c r="FE21" s="139"/>
      <c r="FF21" s="139"/>
      <c r="FG21" s="1801">
        <v>641</v>
      </c>
      <c r="FH21" s="1794"/>
      <c r="FI21" s="1816">
        <f aca="true" t="shared" si="30" ref="FI21:FI26">FG21</f>
        <v>641</v>
      </c>
      <c r="FJ21" s="139"/>
      <c r="FK21" s="1781"/>
      <c r="FL21" s="139"/>
      <c r="FM21" s="139"/>
    </row>
    <row r="22" spans="1:169" ht="16.5">
      <c r="A22" s="1423" t="s">
        <v>566</v>
      </c>
      <c r="B22" s="1811">
        <v>1</v>
      </c>
      <c r="C22" s="1818"/>
      <c r="D22" s="1814">
        <f t="shared" si="29"/>
        <v>1</v>
      </c>
      <c r="E22" s="139"/>
      <c r="F22" s="1781"/>
      <c r="G22" s="139"/>
      <c r="H22" s="139"/>
      <c r="I22" s="1784"/>
      <c r="J22" s="1785"/>
      <c r="K22" s="1789"/>
      <c r="L22" s="139"/>
      <c r="M22" s="1781"/>
      <c r="N22" s="139"/>
      <c r="O22" s="139"/>
      <c r="P22" s="1784"/>
      <c r="Q22" s="1785"/>
      <c r="R22" s="1789"/>
      <c r="S22" s="139"/>
      <c r="T22" s="1781"/>
      <c r="U22" s="139"/>
      <c r="V22" s="139"/>
      <c r="W22" s="1784">
        <v>7</v>
      </c>
      <c r="X22" s="1785"/>
      <c r="Y22" s="1789">
        <v>7</v>
      </c>
      <c r="Z22" s="139"/>
      <c r="AA22" s="1781"/>
      <c r="AB22" s="139"/>
      <c r="AC22" s="139"/>
      <c r="AD22" s="1784"/>
      <c r="AE22" s="1785"/>
      <c r="AF22" s="1789"/>
      <c r="AG22" s="139"/>
      <c r="AH22" s="1781"/>
      <c r="AI22" s="139"/>
      <c r="AJ22" s="139"/>
      <c r="AK22" s="1784"/>
      <c r="AL22" s="1785"/>
      <c r="AM22" s="1789"/>
      <c r="AN22" s="139"/>
      <c r="AO22" s="1781"/>
      <c r="AP22" s="139"/>
      <c r="AQ22" s="139"/>
      <c r="AR22" s="1784"/>
      <c r="AS22" s="1785"/>
      <c r="AT22" s="1789"/>
      <c r="AU22" s="139"/>
      <c r="AV22" s="1781"/>
      <c r="AW22" s="139"/>
      <c r="AX22" s="139"/>
      <c r="AY22" s="1784">
        <v>3</v>
      </c>
      <c r="AZ22" s="1785"/>
      <c r="BA22" s="1789">
        <v>3</v>
      </c>
      <c r="BB22" s="139"/>
      <c r="BC22" s="1781"/>
      <c r="BD22" s="139"/>
      <c r="BE22" s="139"/>
      <c r="BF22" s="1784"/>
      <c r="BG22" s="1785"/>
      <c r="BH22" s="1789"/>
      <c r="BI22" s="139"/>
      <c r="BJ22" s="1781"/>
      <c r="BK22" s="139"/>
      <c r="BL22" s="139"/>
      <c r="BM22" s="1784"/>
      <c r="BN22" s="1785"/>
      <c r="BO22" s="1789"/>
      <c r="BP22" s="139"/>
      <c r="BQ22" s="1781"/>
      <c r="BR22" s="139"/>
      <c r="BS22" s="139"/>
      <c r="BT22" s="1784">
        <v>10</v>
      </c>
      <c r="BU22" s="1785"/>
      <c r="BV22" s="1789">
        <v>10</v>
      </c>
      <c r="BW22" s="139"/>
      <c r="BX22" s="1781"/>
      <c r="BY22" s="139"/>
      <c r="BZ22" s="139"/>
      <c r="CA22" s="1784">
        <v>1</v>
      </c>
      <c r="CB22" s="1785"/>
      <c r="CC22" s="1789">
        <v>1</v>
      </c>
      <c r="CD22" s="139"/>
      <c r="CE22" s="1781"/>
      <c r="CF22" s="139"/>
      <c r="CG22" s="139"/>
      <c r="CH22" s="1784"/>
      <c r="CI22" s="1785"/>
      <c r="CJ22" s="1789"/>
      <c r="CK22" s="139"/>
      <c r="CL22" s="1781"/>
      <c r="CM22" s="139"/>
      <c r="CN22" s="139"/>
      <c r="CO22" s="1784">
        <v>16</v>
      </c>
      <c r="CP22" s="1785"/>
      <c r="CQ22" s="1789">
        <v>16</v>
      </c>
      <c r="CR22" s="139"/>
      <c r="CS22" s="1781"/>
      <c r="CT22" s="139"/>
      <c r="CU22" s="139"/>
      <c r="CV22" s="1784"/>
      <c r="CW22" s="1785"/>
      <c r="CX22" s="1789"/>
      <c r="CY22" s="139"/>
      <c r="CZ22" s="1781"/>
      <c r="DA22" s="139"/>
      <c r="DB22" s="139"/>
      <c r="DC22" s="1784"/>
      <c r="DD22" s="1785"/>
      <c r="DE22" s="1789"/>
      <c r="DF22" s="139"/>
      <c r="DG22" s="1781"/>
      <c r="DH22" s="139"/>
      <c r="DI22" s="139"/>
      <c r="DJ22" s="1784">
        <v>11</v>
      </c>
      <c r="DK22" s="1785"/>
      <c r="DL22" s="1789">
        <v>11</v>
      </c>
      <c r="DM22" s="139"/>
      <c r="DN22" s="1781"/>
      <c r="DO22" s="139"/>
      <c r="DP22" s="139"/>
      <c r="DQ22" s="1784">
        <v>2</v>
      </c>
      <c r="DR22" s="1785"/>
      <c r="DS22" s="1789">
        <v>2</v>
      </c>
      <c r="DT22" s="139"/>
      <c r="DU22" s="1781"/>
      <c r="DV22" s="139"/>
      <c r="DW22" s="139"/>
      <c r="DX22" s="1784"/>
      <c r="DY22" s="1785"/>
      <c r="DZ22" s="1789"/>
      <c r="EA22" s="139"/>
      <c r="EB22" s="1781"/>
      <c r="EC22" s="139"/>
      <c r="ED22" s="139"/>
      <c r="EE22" s="1784"/>
      <c r="EF22" s="1785"/>
      <c r="EG22" s="1789"/>
      <c r="EH22" s="139"/>
      <c r="EI22" s="1781"/>
      <c r="EJ22" s="139"/>
      <c r="EK22" s="139"/>
      <c r="EL22" s="1784">
        <v>10</v>
      </c>
      <c r="EM22" s="1785"/>
      <c r="EN22" s="1789">
        <v>10</v>
      </c>
      <c r="EO22" s="139"/>
      <c r="EP22" s="1781"/>
      <c r="EQ22" s="139"/>
      <c r="ER22" s="139"/>
      <c r="ES22" s="1784">
        <v>8</v>
      </c>
      <c r="ET22" s="1785"/>
      <c r="EU22" s="1789">
        <v>8</v>
      </c>
      <c r="EV22" s="139"/>
      <c r="EW22" s="1781"/>
      <c r="EX22" s="139"/>
      <c r="EY22" s="139"/>
      <c r="EZ22" s="1784"/>
      <c r="FA22" s="1785"/>
      <c r="FB22" s="1789"/>
      <c r="FC22" s="139"/>
      <c r="FD22" s="1781"/>
      <c r="FE22" s="139"/>
      <c r="FF22" s="139"/>
      <c r="FG22" s="1784">
        <v>134</v>
      </c>
      <c r="FH22" s="1785"/>
      <c r="FI22" s="1816">
        <f t="shared" si="30"/>
        <v>134</v>
      </c>
      <c r="FJ22" s="139"/>
      <c r="FK22" s="1781"/>
      <c r="FL22" s="139"/>
      <c r="FM22" s="139"/>
    </row>
    <row r="23" spans="1:169" ht="16.5">
      <c r="A23" s="1423" t="s">
        <v>567</v>
      </c>
      <c r="B23" s="1811">
        <v>1</v>
      </c>
      <c r="C23" s="1818"/>
      <c r="D23" s="1814">
        <f t="shared" si="29"/>
        <v>1</v>
      </c>
      <c r="E23" s="139"/>
      <c r="F23" s="1781"/>
      <c r="G23" s="139"/>
      <c r="H23" s="139"/>
      <c r="I23" s="1784"/>
      <c r="J23" s="1785"/>
      <c r="K23" s="1789"/>
      <c r="L23" s="139"/>
      <c r="M23" s="1781"/>
      <c r="N23" s="139"/>
      <c r="O23" s="139"/>
      <c r="P23" s="1784"/>
      <c r="Q23" s="1785"/>
      <c r="R23" s="1789"/>
      <c r="S23" s="139"/>
      <c r="T23" s="1781"/>
      <c r="U23" s="139"/>
      <c r="V23" s="139"/>
      <c r="W23" s="1784"/>
      <c r="X23" s="1785"/>
      <c r="Y23" s="1789"/>
      <c r="Z23" s="139"/>
      <c r="AA23" s="1781"/>
      <c r="AB23" s="139"/>
      <c r="AC23" s="139"/>
      <c r="AD23" s="1784"/>
      <c r="AE23" s="1785"/>
      <c r="AF23" s="1789"/>
      <c r="AG23" s="139"/>
      <c r="AH23" s="1781"/>
      <c r="AI23" s="139"/>
      <c r="AJ23" s="139"/>
      <c r="AK23" s="1784"/>
      <c r="AL23" s="1785"/>
      <c r="AM23" s="1789"/>
      <c r="AN23" s="139"/>
      <c r="AO23" s="1781"/>
      <c r="AP23" s="139"/>
      <c r="AQ23" s="139"/>
      <c r="AR23" s="1784"/>
      <c r="AS23" s="1785"/>
      <c r="AT23" s="1789"/>
      <c r="AU23" s="139"/>
      <c r="AV23" s="1781"/>
      <c r="AW23" s="139"/>
      <c r="AX23" s="139"/>
      <c r="AY23" s="1784"/>
      <c r="AZ23" s="1785"/>
      <c r="BA23" s="1789"/>
      <c r="BB23" s="139"/>
      <c r="BC23" s="1781"/>
      <c r="BD23" s="139"/>
      <c r="BE23" s="139"/>
      <c r="BF23" s="1784"/>
      <c r="BG23" s="1785"/>
      <c r="BH23" s="1789"/>
      <c r="BI23" s="139"/>
      <c r="BJ23" s="1781"/>
      <c r="BK23" s="139"/>
      <c r="BL23" s="139"/>
      <c r="BM23" s="1784"/>
      <c r="BN23" s="1785"/>
      <c r="BO23" s="1789"/>
      <c r="BP23" s="139"/>
      <c r="BQ23" s="1781"/>
      <c r="BR23" s="139"/>
      <c r="BS23" s="139"/>
      <c r="BT23" s="1784"/>
      <c r="BU23" s="1785"/>
      <c r="BV23" s="1789"/>
      <c r="BW23" s="139"/>
      <c r="BX23" s="1781"/>
      <c r="BY23" s="139"/>
      <c r="BZ23" s="139"/>
      <c r="CA23" s="1784"/>
      <c r="CB23" s="1785"/>
      <c r="CC23" s="1789"/>
      <c r="CD23" s="139"/>
      <c r="CE23" s="1781"/>
      <c r="CF23" s="139"/>
      <c r="CG23" s="139"/>
      <c r="CH23" s="1784"/>
      <c r="CI23" s="1785"/>
      <c r="CJ23" s="1789"/>
      <c r="CK23" s="139"/>
      <c r="CL23" s="1781"/>
      <c r="CM23" s="139"/>
      <c r="CN23" s="139"/>
      <c r="CO23" s="1784"/>
      <c r="CP23" s="1785"/>
      <c r="CQ23" s="1789"/>
      <c r="CR23" s="139"/>
      <c r="CS23" s="1781"/>
      <c r="CT23" s="139"/>
      <c r="CU23" s="139"/>
      <c r="CV23" s="1784"/>
      <c r="CW23" s="1785"/>
      <c r="CX23" s="1789"/>
      <c r="CY23" s="139"/>
      <c r="CZ23" s="1781"/>
      <c r="DA23" s="139"/>
      <c r="DB23" s="139"/>
      <c r="DC23" s="1784"/>
      <c r="DD23" s="1785"/>
      <c r="DE23" s="1789"/>
      <c r="DF23" s="139"/>
      <c r="DG23" s="1781"/>
      <c r="DH23" s="139"/>
      <c r="DI23" s="139"/>
      <c r="DJ23" s="1784"/>
      <c r="DK23" s="1785"/>
      <c r="DL23" s="1789"/>
      <c r="DM23" s="139"/>
      <c r="DN23" s="1781"/>
      <c r="DO23" s="139"/>
      <c r="DP23" s="139"/>
      <c r="DQ23" s="1784"/>
      <c r="DR23" s="1785"/>
      <c r="DS23" s="1789"/>
      <c r="DT23" s="139"/>
      <c r="DU23" s="1781"/>
      <c r="DV23" s="139"/>
      <c r="DW23" s="139"/>
      <c r="DX23" s="1784"/>
      <c r="DY23" s="1785"/>
      <c r="DZ23" s="1789"/>
      <c r="EA23" s="139"/>
      <c r="EB23" s="1781"/>
      <c r="EC23" s="139"/>
      <c r="ED23" s="139"/>
      <c r="EE23" s="1784"/>
      <c r="EF23" s="1785"/>
      <c r="EG23" s="1789"/>
      <c r="EH23" s="139"/>
      <c r="EI23" s="1781"/>
      <c r="EJ23" s="139"/>
      <c r="EK23" s="139"/>
      <c r="EL23" s="1784"/>
      <c r="EM23" s="1785"/>
      <c r="EN23" s="1789"/>
      <c r="EO23" s="139"/>
      <c r="EP23" s="1781"/>
      <c r="EQ23" s="139"/>
      <c r="ER23" s="139"/>
      <c r="ES23" s="1784"/>
      <c r="ET23" s="1785"/>
      <c r="EU23" s="1789"/>
      <c r="EV23" s="139"/>
      <c r="EW23" s="1781"/>
      <c r="EX23" s="139"/>
      <c r="EY23" s="139"/>
      <c r="EZ23" s="1784"/>
      <c r="FA23" s="1785"/>
      <c r="FB23" s="1789"/>
      <c r="FC23" s="139"/>
      <c r="FD23" s="1781"/>
      <c r="FE23" s="139"/>
      <c r="FF23" s="139"/>
      <c r="FG23" s="1784">
        <v>81</v>
      </c>
      <c r="FH23" s="1785"/>
      <c r="FI23" s="1816">
        <f t="shared" si="30"/>
        <v>81</v>
      </c>
      <c r="FJ23" s="139"/>
      <c r="FK23" s="1781"/>
      <c r="FL23" s="139"/>
      <c r="FM23" s="139"/>
    </row>
    <row r="24" spans="1:169" ht="16.5">
      <c r="A24" s="1423" t="s">
        <v>568</v>
      </c>
      <c r="B24" s="1811"/>
      <c r="C24" s="1818"/>
      <c r="D24" s="1814">
        <f t="shared" si="29"/>
        <v>0</v>
      </c>
      <c r="E24" s="139"/>
      <c r="F24" s="1781"/>
      <c r="G24" s="139"/>
      <c r="H24" s="139"/>
      <c r="I24" s="1784"/>
      <c r="J24" s="1785"/>
      <c r="K24" s="1789"/>
      <c r="L24" s="139"/>
      <c r="M24" s="1781"/>
      <c r="N24" s="139"/>
      <c r="O24" s="139"/>
      <c r="P24" s="1784"/>
      <c r="Q24" s="1785"/>
      <c r="R24" s="1789"/>
      <c r="S24" s="139"/>
      <c r="T24" s="1781"/>
      <c r="U24" s="139"/>
      <c r="V24" s="139"/>
      <c r="W24" s="1784"/>
      <c r="X24" s="1785"/>
      <c r="Y24" s="1789"/>
      <c r="Z24" s="139"/>
      <c r="AA24" s="1781"/>
      <c r="AB24" s="139"/>
      <c r="AC24" s="139"/>
      <c r="AD24" s="1784"/>
      <c r="AE24" s="1785"/>
      <c r="AF24" s="1789"/>
      <c r="AG24" s="139"/>
      <c r="AH24" s="1781"/>
      <c r="AI24" s="139"/>
      <c r="AJ24" s="139"/>
      <c r="AK24" s="1784"/>
      <c r="AL24" s="1785"/>
      <c r="AM24" s="1789"/>
      <c r="AN24" s="139"/>
      <c r="AO24" s="1781"/>
      <c r="AP24" s="139"/>
      <c r="AQ24" s="139"/>
      <c r="AR24" s="1784"/>
      <c r="AS24" s="1785"/>
      <c r="AT24" s="1789"/>
      <c r="AU24" s="139"/>
      <c r="AV24" s="1781"/>
      <c r="AW24" s="139"/>
      <c r="AX24" s="139"/>
      <c r="AY24" s="1784"/>
      <c r="AZ24" s="1785"/>
      <c r="BA24" s="1789"/>
      <c r="BB24" s="139"/>
      <c r="BC24" s="1781"/>
      <c r="BD24" s="139"/>
      <c r="BE24" s="139"/>
      <c r="BF24" s="1784"/>
      <c r="BG24" s="1785"/>
      <c r="BH24" s="1789"/>
      <c r="BI24" s="139"/>
      <c r="BJ24" s="1781"/>
      <c r="BK24" s="139"/>
      <c r="BL24" s="139"/>
      <c r="BM24" s="1784"/>
      <c r="BN24" s="1785"/>
      <c r="BO24" s="1789"/>
      <c r="BP24" s="139"/>
      <c r="BQ24" s="1781"/>
      <c r="BR24" s="139"/>
      <c r="BS24" s="139"/>
      <c r="BT24" s="1784"/>
      <c r="BU24" s="1785"/>
      <c r="BV24" s="1789"/>
      <c r="BW24" s="139"/>
      <c r="BX24" s="1781"/>
      <c r="BY24" s="139"/>
      <c r="BZ24" s="139"/>
      <c r="CA24" s="1784"/>
      <c r="CB24" s="1785"/>
      <c r="CC24" s="1789"/>
      <c r="CD24" s="139"/>
      <c r="CE24" s="1781"/>
      <c r="CF24" s="139"/>
      <c r="CG24" s="139"/>
      <c r="CH24" s="1784"/>
      <c r="CI24" s="1785"/>
      <c r="CJ24" s="1789"/>
      <c r="CK24" s="139"/>
      <c r="CL24" s="1781"/>
      <c r="CM24" s="139"/>
      <c r="CN24" s="139"/>
      <c r="CO24" s="1784"/>
      <c r="CP24" s="1785"/>
      <c r="CQ24" s="1789"/>
      <c r="CR24" s="139"/>
      <c r="CS24" s="1781"/>
      <c r="CT24" s="139"/>
      <c r="CU24" s="139"/>
      <c r="CV24" s="1784"/>
      <c r="CW24" s="1785"/>
      <c r="CX24" s="1789"/>
      <c r="CY24" s="139"/>
      <c r="CZ24" s="1781"/>
      <c r="DA24" s="139"/>
      <c r="DB24" s="139"/>
      <c r="DC24" s="1784"/>
      <c r="DD24" s="1785"/>
      <c r="DE24" s="1789"/>
      <c r="DF24" s="139"/>
      <c r="DG24" s="1781"/>
      <c r="DH24" s="139"/>
      <c r="DI24" s="139"/>
      <c r="DJ24" s="1784"/>
      <c r="DK24" s="1785"/>
      <c r="DL24" s="1789"/>
      <c r="DM24" s="139"/>
      <c r="DN24" s="1781"/>
      <c r="DO24" s="139"/>
      <c r="DP24" s="139"/>
      <c r="DQ24" s="1784"/>
      <c r="DR24" s="1785"/>
      <c r="DS24" s="1789"/>
      <c r="DT24" s="139"/>
      <c r="DU24" s="1781"/>
      <c r="DV24" s="139"/>
      <c r="DW24" s="139"/>
      <c r="DX24" s="1784"/>
      <c r="DY24" s="1785"/>
      <c r="DZ24" s="1789"/>
      <c r="EA24" s="139"/>
      <c r="EB24" s="1781"/>
      <c r="EC24" s="139"/>
      <c r="ED24" s="139"/>
      <c r="EE24" s="1784"/>
      <c r="EF24" s="1785"/>
      <c r="EG24" s="1789"/>
      <c r="EH24" s="139"/>
      <c r="EI24" s="1781"/>
      <c r="EJ24" s="139"/>
      <c r="EK24" s="139"/>
      <c r="EL24" s="1784"/>
      <c r="EM24" s="1785"/>
      <c r="EN24" s="1789"/>
      <c r="EO24" s="139"/>
      <c r="EP24" s="1781"/>
      <c r="EQ24" s="139"/>
      <c r="ER24" s="139"/>
      <c r="ES24" s="1784"/>
      <c r="ET24" s="1785"/>
      <c r="EU24" s="1789"/>
      <c r="EV24" s="139"/>
      <c r="EW24" s="1781"/>
      <c r="EX24" s="139"/>
      <c r="EY24" s="139"/>
      <c r="EZ24" s="1784"/>
      <c r="FA24" s="1785"/>
      <c r="FB24" s="1789"/>
      <c r="FC24" s="139"/>
      <c r="FD24" s="1781"/>
      <c r="FE24" s="139"/>
      <c r="FF24" s="139"/>
      <c r="FG24" s="1784">
        <v>92</v>
      </c>
      <c r="FH24" s="1785"/>
      <c r="FI24" s="1816">
        <f t="shared" si="30"/>
        <v>92</v>
      </c>
      <c r="FJ24" s="139"/>
      <c r="FK24" s="1781"/>
      <c r="FL24" s="139"/>
      <c r="FM24" s="139"/>
    </row>
    <row r="25" spans="1:169" ht="16.5">
      <c r="A25" s="1423" t="s">
        <v>569</v>
      </c>
      <c r="B25" s="1812"/>
      <c r="C25" s="13"/>
      <c r="D25" s="1814">
        <f t="shared" si="29"/>
        <v>0</v>
      </c>
      <c r="E25" s="1780"/>
      <c r="F25" s="139"/>
      <c r="G25" s="139"/>
      <c r="H25" s="139"/>
      <c r="I25" s="1785"/>
      <c r="J25" s="1786"/>
      <c r="K25" s="1789"/>
      <c r="L25" s="1780"/>
      <c r="M25" s="139"/>
      <c r="N25" s="139"/>
      <c r="O25" s="139"/>
      <c r="P25" s="1785"/>
      <c r="Q25" s="1786"/>
      <c r="R25" s="1789"/>
      <c r="S25" s="1780"/>
      <c r="T25" s="139"/>
      <c r="U25" s="139"/>
      <c r="V25" s="139"/>
      <c r="W25" s="1785"/>
      <c r="X25" s="1786"/>
      <c r="Y25" s="1789"/>
      <c r="Z25" s="1780"/>
      <c r="AA25" s="139"/>
      <c r="AB25" s="139"/>
      <c r="AC25" s="139"/>
      <c r="AD25" s="1785"/>
      <c r="AE25" s="1786"/>
      <c r="AF25" s="1789"/>
      <c r="AG25" s="1780"/>
      <c r="AH25" s="139"/>
      <c r="AI25" s="139"/>
      <c r="AJ25" s="139"/>
      <c r="AK25" s="1785"/>
      <c r="AL25" s="1786"/>
      <c r="AM25" s="1789"/>
      <c r="AN25" s="1780"/>
      <c r="AO25" s="139"/>
      <c r="AP25" s="139"/>
      <c r="AQ25" s="139"/>
      <c r="AR25" s="1785"/>
      <c r="AS25" s="1786"/>
      <c r="AT25" s="1789"/>
      <c r="AU25" s="1780"/>
      <c r="AV25" s="139"/>
      <c r="AW25" s="139"/>
      <c r="AX25" s="139"/>
      <c r="AY25" s="1785"/>
      <c r="AZ25" s="1786"/>
      <c r="BA25" s="1789"/>
      <c r="BB25" s="1780"/>
      <c r="BC25" s="139"/>
      <c r="BD25" s="139"/>
      <c r="BE25" s="139"/>
      <c r="BF25" s="1785"/>
      <c r="BG25" s="1786"/>
      <c r="BH25" s="1789"/>
      <c r="BI25" s="1780"/>
      <c r="BJ25" s="139"/>
      <c r="BK25" s="139"/>
      <c r="BL25" s="139"/>
      <c r="BM25" s="1785"/>
      <c r="BN25" s="1786"/>
      <c r="BO25" s="1789"/>
      <c r="BP25" s="1780"/>
      <c r="BQ25" s="139"/>
      <c r="BR25" s="139"/>
      <c r="BS25" s="139"/>
      <c r="BT25" s="1785"/>
      <c r="BU25" s="1786"/>
      <c r="BV25" s="1789"/>
      <c r="BW25" s="1780"/>
      <c r="BX25" s="139"/>
      <c r="BY25" s="139"/>
      <c r="BZ25" s="139"/>
      <c r="CA25" s="1785"/>
      <c r="CB25" s="1786"/>
      <c r="CC25" s="1789"/>
      <c r="CD25" s="1780"/>
      <c r="CE25" s="139"/>
      <c r="CF25" s="139"/>
      <c r="CG25" s="139"/>
      <c r="CH25" s="1785"/>
      <c r="CI25" s="1786"/>
      <c r="CJ25" s="1789"/>
      <c r="CK25" s="1780"/>
      <c r="CL25" s="139"/>
      <c r="CM25" s="139"/>
      <c r="CN25" s="139"/>
      <c r="CO25" s="1785"/>
      <c r="CP25" s="1786"/>
      <c r="CQ25" s="1789"/>
      <c r="CR25" s="1780"/>
      <c r="CS25" s="139"/>
      <c r="CT25" s="139"/>
      <c r="CU25" s="139"/>
      <c r="CV25" s="1785"/>
      <c r="CW25" s="1786"/>
      <c r="CX25" s="1789"/>
      <c r="CY25" s="1780"/>
      <c r="CZ25" s="139"/>
      <c r="DA25" s="139"/>
      <c r="DB25" s="139"/>
      <c r="DC25" s="1785"/>
      <c r="DD25" s="1786"/>
      <c r="DE25" s="1789"/>
      <c r="DF25" s="1780"/>
      <c r="DG25" s="139"/>
      <c r="DH25" s="139"/>
      <c r="DI25" s="139"/>
      <c r="DJ25" s="1785"/>
      <c r="DK25" s="1786"/>
      <c r="DL25" s="1789"/>
      <c r="DM25" s="1780"/>
      <c r="DN25" s="139"/>
      <c r="DO25" s="139"/>
      <c r="DP25" s="139"/>
      <c r="DQ25" s="1785"/>
      <c r="DR25" s="1786"/>
      <c r="DS25" s="1789"/>
      <c r="DT25" s="1780"/>
      <c r="DU25" s="139"/>
      <c r="DV25" s="139"/>
      <c r="DW25" s="139"/>
      <c r="DX25" s="1785"/>
      <c r="DY25" s="1786"/>
      <c r="DZ25" s="1789"/>
      <c r="EA25" s="1780"/>
      <c r="EB25" s="139"/>
      <c r="EC25" s="139"/>
      <c r="ED25" s="139"/>
      <c r="EE25" s="1785"/>
      <c r="EF25" s="1786"/>
      <c r="EG25" s="1789"/>
      <c r="EH25" s="1780"/>
      <c r="EI25" s="139"/>
      <c r="EJ25" s="139"/>
      <c r="EK25" s="139"/>
      <c r="EL25" s="1785"/>
      <c r="EM25" s="1786"/>
      <c r="EN25" s="1789"/>
      <c r="EO25" s="1780"/>
      <c r="EP25" s="139"/>
      <c r="EQ25" s="139"/>
      <c r="ER25" s="139"/>
      <c r="ES25" s="1785"/>
      <c r="ET25" s="1786"/>
      <c r="EU25" s="1789"/>
      <c r="EV25" s="1780"/>
      <c r="EW25" s="139"/>
      <c r="EX25" s="139"/>
      <c r="EY25" s="139"/>
      <c r="EZ25" s="1785"/>
      <c r="FA25" s="1786"/>
      <c r="FB25" s="1789"/>
      <c r="FC25" s="1780"/>
      <c r="FD25" s="139"/>
      <c r="FE25" s="139"/>
      <c r="FF25" s="139"/>
      <c r="FG25" s="1785">
        <v>2</v>
      </c>
      <c r="FH25" s="1786"/>
      <c r="FI25" s="1816">
        <f t="shared" si="30"/>
        <v>2</v>
      </c>
      <c r="FJ25" s="1780"/>
      <c r="FK25" s="139"/>
      <c r="FL25" s="139"/>
      <c r="FM25" s="139"/>
    </row>
    <row r="26" spans="1:169" ht="17.25" thickBot="1">
      <c r="A26" s="1809" t="s">
        <v>535</v>
      </c>
      <c r="B26" s="1813">
        <f>SUM(B21:B25)</f>
        <v>14</v>
      </c>
      <c r="C26" s="1821"/>
      <c r="D26" s="1815">
        <f t="shared" si="29"/>
        <v>14</v>
      </c>
      <c r="E26" s="139"/>
      <c r="F26" s="1781"/>
      <c r="G26" s="139"/>
      <c r="H26" s="139"/>
      <c r="I26" s="1792"/>
      <c r="J26" s="1791"/>
      <c r="K26" s="1800"/>
      <c r="L26" s="139"/>
      <c r="M26" s="1781"/>
      <c r="N26" s="139"/>
      <c r="O26" s="139"/>
      <c r="P26" s="1792">
        <v>43</v>
      </c>
      <c r="Q26" s="1791"/>
      <c r="R26" s="1800">
        <v>43</v>
      </c>
      <c r="S26" s="139"/>
      <c r="T26" s="1781"/>
      <c r="U26" s="139"/>
      <c r="V26" s="139"/>
      <c r="W26" s="1792">
        <v>28</v>
      </c>
      <c r="X26" s="1791"/>
      <c r="Y26" s="1800">
        <v>28</v>
      </c>
      <c r="Z26" s="139"/>
      <c r="AA26" s="1781"/>
      <c r="AB26" s="139"/>
      <c r="AC26" s="139"/>
      <c r="AD26" s="1792">
        <v>3</v>
      </c>
      <c r="AE26" s="1791"/>
      <c r="AF26" s="1800">
        <v>3</v>
      </c>
      <c r="AG26" s="139"/>
      <c r="AH26" s="1781"/>
      <c r="AI26" s="139"/>
      <c r="AJ26" s="139"/>
      <c r="AK26" s="1792">
        <v>11</v>
      </c>
      <c r="AL26" s="1791"/>
      <c r="AM26" s="1800">
        <v>11</v>
      </c>
      <c r="AN26" s="139"/>
      <c r="AO26" s="1781"/>
      <c r="AP26" s="139"/>
      <c r="AQ26" s="139"/>
      <c r="AR26" s="1792"/>
      <c r="AS26" s="1791"/>
      <c r="AT26" s="1800"/>
      <c r="AU26" s="139"/>
      <c r="AV26" s="1781"/>
      <c r="AW26" s="139"/>
      <c r="AX26" s="139"/>
      <c r="AY26" s="1792">
        <v>6</v>
      </c>
      <c r="AZ26" s="1791"/>
      <c r="BA26" s="1800">
        <v>6</v>
      </c>
      <c r="BB26" s="139"/>
      <c r="BC26" s="1781"/>
      <c r="BD26" s="139"/>
      <c r="BE26" s="139"/>
      <c r="BF26" s="1792"/>
      <c r="BG26" s="1791"/>
      <c r="BH26" s="1800"/>
      <c r="BI26" s="139"/>
      <c r="BJ26" s="1781"/>
      <c r="BK26" s="139"/>
      <c r="BL26" s="139"/>
      <c r="BM26" s="1792">
        <v>22</v>
      </c>
      <c r="BN26" s="1791"/>
      <c r="BO26" s="1800">
        <v>22</v>
      </c>
      <c r="BP26" s="139"/>
      <c r="BQ26" s="1781"/>
      <c r="BR26" s="139"/>
      <c r="BS26" s="139"/>
      <c r="BT26" s="1792">
        <v>35</v>
      </c>
      <c r="BU26" s="1791"/>
      <c r="BV26" s="1800">
        <v>35</v>
      </c>
      <c r="BW26" s="139"/>
      <c r="BX26" s="1781"/>
      <c r="BY26" s="139"/>
      <c r="BZ26" s="139"/>
      <c r="CA26" s="1792">
        <v>4</v>
      </c>
      <c r="CB26" s="1791"/>
      <c r="CC26" s="1800">
        <v>4</v>
      </c>
      <c r="CD26" s="139"/>
      <c r="CE26" s="1781"/>
      <c r="CF26" s="139"/>
      <c r="CG26" s="139"/>
      <c r="CH26" s="1792">
        <v>1</v>
      </c>
      <c r="CI26" s="1791"/>
      <c r="CJ26" s="1800">
        <v>1</v>
      </c>
      <c r="CK26" s="139"/>
      <c r="CL26" s="1781"/>
      <c r="CM26" s="139"/>
      <c r="CN26" s="139"/>
      <c r="CO26" s="1792">
        <v>86</v>
      </c>
      <c r="CP26" s="1791"/>
      <c r="CQ26" s="1800">
        <v>86</v>
      </c>
      <c r="CR26" s="139"/>
      <c r="CS26" s="1781"/>
      <c r="CT26" s="139"/>
      <c r="CU26" s="139"/>
      <c r="CV26" s="1792">
        <v>21</v>
      </c>
      <c r="CW26" s="1791"/>
      <c r="CX26" s="1800">
        <v>21</v>
      </c>
      <c r="CY26" s="139"/>
      <c r="CZ26" s="1781"/>
      <c r="DA26" s="139"/>
      <c r="DB26" s="139"/>
      <c r="DC26" s="1792"/>
      <c r="DD26" s="1791"/>
      <c r="DE26" s="1800"/>
      <c r="DF26" s="139"/>
      <c r="DG26" s="1781"/>
      <c r="DH26" s="139"/>
      <c r="DI26" s="139"/>
      <c r="DJ26" s="1792">
        <v>45</v>
      </c>
      <c r="DK26" s="1791"/>
      <c r="DL26" s="1800">
        <v>45</v>
      </c>
      <c r="DM26" s="139"/>
      <c r="DN26" s="1781"/>
      <c r="DO26" s="139"/>
      <c r="DP26" s="139"/>
      <c r="DQ26" s="1792">
        <v>19</v>
      </c>
      <c r="DR26" s="1791"/>
      <c r="DS26" s="1800">
        <v>19</v>
      </c>
      <c r="DT26" s="139"/>
      <c r="DU26" s="1781"/>
      <c r="DV26" s="139"/>
      <c r="DW26" s="139"/>
      <c r="DX26" s="1792"/>
      <c r="DY26" s="1791"/>
      <c r="DZ26" s="1800"/>
      <c r="EA26" s="139"/>
      <c r="EB26" s="1781"/>
      <c r="EC26" s="139"/>
      <c r="ED26" s="139"/>
      <c r="EE26" s="1792"/>
      <c r="EF26" s="1791"/>
      <c r="EG26" s="1800"/>
      <c r="EH26" s="139"/>
      <c r="EI26" s="1781"/>
      <c r="EJ26" s="139"/>
      <c r="EK26" s="139"/>
      <c r="EL26" s="1792">
        <v>17</v>
      </c>
      <c r="EM26" s="1791"/>
      <c r="EN26" s="1800">
        <v>17</v>
      </c>
      <c r="EO26" s="139"/>
      <c r="EP26" s="1781"/>
      <c r="EQ26" s="139"/>
      <c r="ER26" s="139"/>
      <c r="ES26" s="1792">
        <v>31</v>
      </c>
      <c r="ET26" s="1791"/>
      <c r="EU26" s="1800">
        <v>31</v>
      </c>
      <c r="EV26" s="139"/>
      <c r="EW26" s="1781"/>
      <c r="EX26" s="139"/>
      <c r="EY26" s="139"/>
      <c r="EZ26" s="1792"/>
      <c r="FA26" s="1791"/>
      <c r="FB26" s="1800"/>
      <c r="FC26" s="139"/>
      <c r="FD26" s="1781"/>
      <c r="FE26" s="139"/>
      <c r="FF26" s="139"/>
      <c r="FG26" s="1792">
        <v>950</v>
      </c>
      <c r="FH26" s="1791"/>
      <c r="FI26" s="1816">
        <f t="shared" si="30"/>
        <v>950</v>
      </c>
      <c r="FJ26" s="139"/>
      <c r="FK26" s="1781"/>
      <c r="FL26" s="139"/>
      <c r="FM26" s="139"/>
    </row>
    <row r="27" spans="1:20" ht="16.5">
      <c r="A27" s="139"/>
      <c r="B27" s="139"/>
      <c r="C27" s="92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0" ht="16.5">
      <c r="A28" s="139"/>
      <c r="B28" s="139"/>
      <c r="C28" s="92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0" ht="16.5">
      <c r="A29" s="139"/>
      <c r="B29" s="139"/>
      <c r="C29" s="92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0" ht="16.5">
      <c r="A30" s="139"/>
      <c r="B30" s="139"/>
      <c r="C30" s="92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0" ht="16.5">
      <c r="A31" s="139"/>
      <c r="B31" s="139"/>
      <c r="C31" s="92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0" ht="16.5">
      <c r="A32" s="139"/>
      <c r="B32" s="139"/>
      <c r="C32" s="92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6.5">
      <c r="A33" s="139"/>
      <c r="B33" s="139"/>
      <c r="C33" s="92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6.5">
      <c r="A34" s="139"/>
      <c r="B34" s="139"/>
      <c r="C34" s="92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</row>
    <row r="35" spans="1:20" ht="16.5">
      <c r="A35" s="139"/>
      <c r="B35" s="139"/>
      <c r="C35" s="92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6.5">
      <c r="A36" s="139"/>
      <c r="B36" s="139"/>
      <c r="C36" s="92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6.5">
      <c r="A37" s="139"/>
      <c r="B37" s="139"/>
      <c r="C37" s="92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6.5">
      <c r="A38" s="139"/>
      <c r="B38" s="139"/>
      <c r="C38" s="92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6.5">
      <c r="A39" s="139"/>
      <c r="B39" s="139"/>
      <c r="C39" s="92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  <row r="40" spans="1:20" ht="16.5">
      <c r="A40" s="139"/>
      <c r="B40" s="139"/>
      <c r="C40" s="92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</row>
    <row r="41" spans="1:20" ht="16.5">
      <c r="A41" s="139"/>
      <c r="B41" s="139"/>
      <c r="C41" s="92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</row>
    <row r="42" spans="1:20" ht="16.5">
      <c r="A42" s="139"/>
      <c r="B42" s="139"/>
      <c r="C42" s="92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</row>
    <row r="43" spans="1:20" ht="16.5">
      <c r="A43" s="139"/>
      <c r="B43" s="139"/>
      <c r="C43" s="92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</row>
    <row r="44" spans="1:20" ht="16.5">
      <c r="A44" s="139"/>
      <c r="B44" s="139"/>
      <c r="C44" s="92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</row>
    <row r="45" spans="1:20" ht="16.5">
      <c r="A45" s="139"/>
      <c r="B45" s="139"/>
      <c r="C45" s="92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</row>
    <row r="46" spans="1:20" ht="16.5">
      <c r="A46" s="139"/>
      <c r="B46" s="139"/>
      <c r="C46" s="92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</row>
    <row r="47" spans="1:20" ht="16.5">
      <c r="A47" s="139"/>
      <c r="B47" s="139"/>
      <c r="C47" s="92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</row>
    <row r="48" spans="1:20" ht="16.5">
      <c r="A48" s="139"/>
      <c r="B48" s="139"/>
      <c r="C48" s="92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</row>
    <row r="49" spans="1:20" ht="16.5">
      <c r="A49" s="139"/>
      <c r="B49" s="139"/>
      <c r="C49" s="92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</row>
    <row r="50" spans="1:20" ht="16.5">
      <c r="A50" s="139"/>
      <c r="B50" s="139"/>
      <c r="C50" s="92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</row>
    <row r="51" spans="1:20" ht="16.5">
      <c r="A51" s="139"/>
      <c r="B51" s="139"/>
      <c r="C51" s="92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</row>
    <row r="52" spans="1:20" ht="16.5">
      <c r="A52" s="139"/>
      <c r="B52" s="139"/>
      <c r="C52" s="92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</row>
    <row r="53" spans="1:20" ht="16.5">
      <c r="A53" s="139"/>
      <c r="B53" s="139"/>
      <c r="C53" s="92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</row>
    <row r="54" spans="1:20" ht="16.5">
      <c r="A54" s="139"/>
      <c r="B54" s="139"/>
      <c r="C54" s="92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</row>
    <row r="55" spans="1:20" ht="16.5">
      <c r="A55" s="139"/>
      <c r="B55" s="139"/>
      <c r="C55" s="92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</row>
    <row r="56" spans="1:20" ht="16.5">
      <c r="A56" s="139"/>
      <c r="B56" s="139"/>
      <c r="C56" s="92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</row>
    <row r="57" spans="1:20" ht="16.5">
      <c r="A57" s="139"/>
      <c r="B57" s="139"/>
      <c r="C57" s="92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</row>
    <row r="58" spans="1:20" ht="16.5">
      <c r="A58" s="139"/>
      <c r="B58" s="139"/>
      <c r="C58" s="92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</row>
    <row r="59" spans="1:20" ht="16.5">
      <c r="A59" s="139"/>
      <c r="B59" s="139"/>
      <c r="C59" s="92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</row>
    <row r="60" spans="1:20" ht="16.5">
      <c r="A60" s="139"/>
      <c r="B60" s="139"/>
      <c r="C60" s="92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</row>
    <row r="61" spans="1:20" ht="16.5">
      <c r="A61" s="139"/>
      <c r="B61" s="139"/>
      <c r="C61" s="92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</row>
    <row r="62" spans="1:20" ht="16.5">
      <c r="A62" s="139"/>
      <c r="B62" s="139"/>
      <c r="C62" s="92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</row>
    <row r="63" spans="1:20" ht="16.5">
      <c r="A63" s="139"/>
      <c r="B63" s="139"/>
      <c r="C63" s="92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</row>
    <row r="64" spans="1:20" ht="16.5">
      <c r="A64" s="139"/>
      <c r="B64" s="139"/>
      <c r="C64" s="92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</row>
    <row r="65" spans="1:20" ht="16.5">
      <c r="A65" s="139"/>
      <c r="B65" s="139"/>
      <c r="C65" s="92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</row>
    <row r="66" spans="1:20" ht="16.5">
      <c r="A66" s="139"/>
      <c r="B66" s="139"/>
      <c r="C66" s="92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</row>
    <row r="67" spans="1:20" ht="16.5">
      <c r="A67" s="139"/>
      <c r="B67" s="139"/>
      <c r="C67" s="92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</row>
    <row r="68" spans="1:20" ht="16.5">
      <c r="A68" s="139"/>
      <c r="B68" s="139"/>
      <c r="C68" s="92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</row>
    <row r="69" spans="1:20" ht="16.5">
      <c r="A69" s="139"/>
      <c r="B69" s="139"/>
      <c r="C69" s="92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</row>
    <row r="70" spans="1:20" ht="16.5">
      <c r="A70" s="139"/>
      <c r="B70" s="139"/>
      <c r="C70" s="92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</row>
    <row r="71" spans="1:20" ht="16.5">
      <c r="A71" s="139"/>
      <c r="B71" s="139"/>
      <c r="C71" s="92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</row>
    <row r="72" spans="1:20" ht="16.5">
      <c r="A72" s="139"/>
      <c r="B72" s="139"/>
      <c r="C72" s="92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</row>
    <row r="73" spans="1:20" ht="16.5">
      <c r="A73" s="139"/>
      <c r="B73" s="139"/>
      <c r="C73" s="92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</row>
    <row r="74" spans="1:20" ht="16.5">
      <c r="A74" s="139"/>
      <c r="B74" s="139"/>
      <c r="C74" s="92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</row>
    <row r="75" spans="1:20" ht="16.5">
      <c r="A75" s="139"/>
      <c r="B75" s="139"/>
      <c r="C75" s="92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</row>
    <row r="76" spans="1:20" ht="16.5">
      <c r="A76" s="139"/>
      <c r="B76" s="139"/>
      <c r="C76" s="92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</row>
    <row r="77" spans="1:20" ht="16.5">
      <c r="A77" s="139"/>
      <c r="B77" s="139"/>
      <c r="C77" s="92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</row>
    <row r="78" spans="1:20" ht="16.5">
      <c r="A78" s="139"/>
      <c r="B78" s="139"/>
      <c r="C78" s="92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</row>
    <row r="79" spans="1:20" ht="16.5">
      <c r="A79" s="139"/>
      <c r="B79" s="139"/>
      <c r="C79" s="92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</row>
    <row r="80" spans="1:20" ht="16.5">
      <c r="A80" s="139"/>
      <c r="B80" s="139"/>
      <c r="C80" s="92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</row>
    <row r="81" spans="1:20" ht="16.5">
      <c r="A81" s="139"/>
      <c r="B81" s="139"/>
      <c r="C81" s="92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</row>
    <row r="82" spans="1:20" ht="16.5">
      <c r="A82" s="139"/>
      <c r="B82" s="139"/>
      <c r="C82" s="92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</row>
    <row r="83" spans="1:20" ht="16.5">
      <c r="A83" s="139"/>
      <c r="B83" s="139"/>
      <c r="C83" s="92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</row>
    <row r="84" spans="1:20" ht="16.5">
      <c r="A84" s="139"/>
      <c r="B84" s="139"/>
      <c r="C84" s="92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</row>
    <row r="85" spans="1:20" ht="16.5">
      <c r="A85" s="139"/>
      <c r="B85" s="139"/>
      <c r="C85" s="92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</row>
    <row r="86" spans="1:20" ht="16.5">
      <c r="A86" s="139"/>
      <c r="B86" s="139"/>
      <c r="C86" s="92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</row>
    <row r="87" spans="1:20" ht="16.5">
      <c r="A87" s="139"/>
      <c r="B87" s="139"/>
      <c r="C87" s="92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</row>
    <row r="88" spans="1:20" ht="16.5">
      <c r="A88" s="139"/>
      <c r="B88" s="139"/>
      <c r="C88" s="92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</row>
    <row r="89" spans="1:20" ht="16.5">
      <c r="A89" s="139"/>
      <c r="B89" s="139"/>
      <c r="C89" s="92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</row>
    <row r="90" spans="1:20" ht="16.5">
      <c r="A90" s="139"/>
      <c r="B90" s="139"/>
      <c r="C90" s="92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</row>
    <row r="91" spans="1:20" ht="16.5">
      <c r="A91" s="139"/>
      <c r="B91" s="139"/>
      <c r="C91" s="92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</row>
    <row r="92" spans="1:20" ht="16.5">
      <c r="A92" s="139"/>
      <c r="B92" s="139"/>
      <c r="C92" s="92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</row>
    <row r="93" spans="1:20" ht="16.5">
      <c r="A93" s="139"/>
      <c r="B93" s="139"/>
      <c r="C93" s="92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</row>
    <row r="94" spans="1:20" ht="16.5">
      <c r="A94" s="139"/>
      <c r="B94" s="139"/>
      <c r="C94" s="92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</row>
    <row r="95" spans="1:20" ht="16.5">
      <c r="A95" s="139"/>
      <c r="B95" s="139"/>
      <c r="C95" s="92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</row>
    <row r="96" spans="1:20" ht="16.5">
      <c r="A96" s="139"/>
      <c r="B96" s="139"/>
      <c r="C96" s="92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</row>
    <row r="97" spans="1:20" ht="16.5">
      <c r="A97" s="139"/>
      <c r="B97" s="139"/>
      <c r="C97" s="92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</row>
    <row r="98" spans="1:20" ht="16.5">
      <c r="A98" s="139"/>
      <c r="B98" s="139"/>
      <c r="C98" s="92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</row>
    <row r="99" spans="1:20" ht="16.5">
      <c r="A99" s="139"/>
      <c r="B99" s="139"/>
      <c r="C99" s="92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</row>
    <row r="100" spans="1:20" ht="16.5">
      <c r="A100" s="139"/>
      <c r="B100" s="139"/>
      <c r="C100" s="92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</row>
    <row r="101" spans="1:20" ht="16.5">
      <c r="A101" s="139"/>
      <c r="B101" s="139"/>
      <c r="C101" s="92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</row>
    <row r="102" spans="1:20" ht="16.5">
      <c r="A102" s="139"/>
      <c r="B102" s="139"/>
      <c r="C102" s="92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</row>
    <row r="103" spans="1:20" ht="16.5">
      <c r="A103" s="139"/>
      <c r="B103" s="139"/>
      <c r="C103" s="92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</row>
    <row r="104" spans="1:20" ht="16.5">
      <c r="A104" s="139"/>
      <c r="B104" s="139"/>
      <c r="C104" s="92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</row>
    <row r="105" spans="1:20" ht="16.5">
      <c r="A105" s="139"/>
      <c r="B105" s="139"/>
      <c r="C105" s="92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</row>
    <row r="106" spans="1:20" ht="16.5">
      <c r="A106" s="139"/>
      <c r="B106" s="139"/>
      <c r="C106" s="92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</row>
    <row r="107" spans="1:20" ht="16.5">
      <c r="A107" s="139"/>
      <c r="B107" s="139"/>
      <c r="C107" s="92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</row>
    <row r="108" spans="1:20" ht="16.5">
      <c r="A108" s="139"/>
      <c r="B108" s="139"/>
      <c r="C108" s="92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</row>
    <row r="109" spans="1:20" ht="16.5">
      <c r="A109" s="139"/>
      <c r="B109" s="139"/>
      <c r="C109" s="92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</row>
    <row r="110" spans="1:20" ht="16.5">
      <c r="A110" s="139"/>
      <c r="B110" s="139"/>
      <c r="C110" s="92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</row>
    <row r="111" spans="1:20" ht="16.5">
      <c r="A111" s="139"/>
      <c r="B111" s="139"/>
      <c r="C111" s="92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</row>
    <row r="112" spans="1:20" ht="16.5">
      <c r="A112" s="139"/>
      <c r="B112" s="139"/>
      <c r="C112" s="92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</row>
    <row r="113" spans="1:20" ht="16.5">
      <c r="A113" s="139"/>
      <c r="B113" s="139"/>
      <c r="C113" s="92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</row>
    <row r="114" spans="1:20" ht="16.5">
      <c r="A114" s="139"/>
      <c r="B114" s="139"/>
      <c r="C114" s="92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</row>
    <row r="115" spans="1:20" ht="16.5">
      <c r="A115" s="139"/>
      <c r="B115" s="139"/>
      <c r="C115" s="92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</row>
    <row r="116" spans="1:20" ht="16.5">
      <c r="A116" s="139"/>
      <c r="B116" s="139"/>
      <c r="C116" s="92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</row>
    <row r="117" spans="1:20" ht="16.5">
      <c r="A117" s="139"/>
      <c r="B117" s="139"/>
      <c r="C117" s="92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</row>
    <row r="118" spans="1:20" ht="16.5">
      <c r="A118" s="139"/>
      <c r="B118" s="139"/>
      <c r="C118" s="92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</row>
    <row r="119" spans="1:20" ht="16.5">
      <c r="A119" s="139"/>
      <c r="B119" s="139"/>
      <c r="C119" s="1779" t="s">
        <v>536</v>
      </c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</row>
    <row r="120" spans="1:20" ht="16.5">
      <c r="A120" s="139"/>
      <c r="B120" s="139"/>
      <c r="C120" s="92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</row>
    <row r="121" spans="1:20" ht="16.5">
      <c r="A121" s="139"/>
      <c r="B121" s="139"/>
      <c r="C121" s="1779" t="s">
        <v>537</v>
      </c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</row>
    <row r="122" spans="1:20" ht="16.5">
      <c r="A122" s="139"/>
      <c r="B122" s="139"/>
      <c r="C122" s="1779" t="s">
        <v>538</v>
      </c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</row>
    <row r="123" spans="1:20" ht="16.5">
      <c r="A123" s="139"/>
      <c r="B123" s="139"/>
      <c r="C123" s="1779" t="s">
        <v>538</v>
      </c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</row>
    <row r="124" spans="1:20" ht="16.5">
      <c r="A124" s="139"/>
      <c r="B124" s="139"/>
      <c r="C124" s="92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</row>
    <row r="125" spans="1:20" ht="16.5">
      <c r="A125" s="139"/>
      <c r="B125" s="139"/>
      <c r="C125" s="1779" t="s">
        <v>538</v>
      </c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</row>
    <row r="126" spans="1:20" ht="16.5">
      <c r="A126" s="139"/>
      <c r="B126" s="139"/>
      <c r="C126" s="1779" t="s">
        <v>539</v>
      </c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</row>
    <row r="127" spans="1:20" ht="16.5">
      <c r="A127" s="139"/>
      <c r="B127" s="139"/>
      <c r="C127" s="92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</row>
    <row r="128" spans="1:20" ht="16.5">
      <c r="A128" s="139"/>
      <c r="B128" s="139"/>
      <c r="C128" s="1779" t="s">
        <v>539</v>
      </c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</row>
    <row r="129" spans="1:20" ht="16.5">
      <c r="A129" s="139"/>
      <c r="B129" s="139"/>
      <c r="C129" s="1779" t="s">
        <v>539</v>
      </c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</row>
    <row r="130" spans="1:20" ht="16.5">
      <c r="A130" s="139"/>
      <c r="B130" s="139"/>
      <c r="C130" s="92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</row>
    <row r="131" spans="1:20" ht="16.5">
      <c r="A131" s="139"/>
      <c r="B131" s="139"/>
      <c r="C131" s="92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</row>
    <row r="132" spans="1:20" ht="16.5">
      <c r="A132" s="139"/>
      <c r="B132" s="139"/>
      <c r="C132" s="92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</row>
    <row r="133" spans="1:20" ht="16.5">
      <c r="A133" s="139"/>
      <c r="B133" s="139"/>
      <c r="C133" s="92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</row>
    <row r="134" spans="1:20" ht="16.5">
      <c r="A134" s="139"/>
      <c r="B134" s="139"/>
      <c r="C134" s="92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</row>
    <row r="135" spans="1:20" ht="16.5">
      <c r="A135" s="139"/>
      <c r="B135" s="139"/>
      <c r="C135" s="1779" t="s">
        <v>540</v>
      </c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</row>
    <row r="136" spans="1:20" ht="16.5">
      <c r="A136" s="139"/>
      <c r="B136" s="139"/>
      <c r="C136" s="1779" t="s">
        <v>541</v>
      </c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</row>
  </sheetData>
  <sheetProtection/>
  <mergeCells count="145">
    <mergeCell ref="EZ2:FF2"/>
    <mergeCell ref="FG2:FM2"/>
    <mergeCell ref="EE2:EK2"/>
    <mergeCell ref="EL2:ER2"/>
    <mergeCell ref="ES2:EY2"/>
    <mergeCell ref="BF2:BL2"/>
    <mergeCell ref="BM2:BS2"/>
    <mergeCell ref="DJ2:DP2"/>
    <mergeCell ref="DQ2:DW2"/>
    <mergeCell ref="DX2:ED2"/>
    <mergeCell ref="CV2:DB2"/>
    <mergeCell ref="DC2:DI2"/>
    <mergeCell ref="I2:O2"/>
    <mergeCell ref="P2:V2"/>
    <mergeCell ref="W2:AC2"/>
    <mergeCell ref="AD2:AJ2"/>
    <mergeCell ref="FH3:FH4"/>
    <mergeCell ref="BT2:BZ2"/>
    <mergeCell ref="CA2:CG2"/>
    <mergeCell ref="CH2:CN2"/>
    <mergeCell ref="AY2:BE2"/>
    <mergeCell ref="EX3:EX4"/>
    <mergeCell ref="EN3:EP3"/>
    <mergeCell ref="EQ3:EQ4"/>
    <mergeCell ref="ER3:ER4"/>
    <mergeCell ref="CO2:CU2"/>
    <mergeCell ref="FI3:FK3"/>
    <mergeCell ref="FL3:FL4"/>
    <mergeCell ref="FM3:FM4"/>
    <mergeCell ref="EY3:EY4"/>
    <mergeCell ref="EZ3:EZ4"/>
    <mergeCell ref="FA3:FA4"/>
    <mergeCell ref="FB3:FD3"/>
    <mergeCell ref="FE3:FE4"/>
    <mergeCell ref="FF3:FF4"/>
    <mergeCell ref="FG3:FG4"/>
    <mergeCell ref="ES3:ES4"/>
    <mergeCell ref="ET3:ET4"/>
    <mergeCell ref="EU3:EW3"/>
    <mergeCell ref="EF3:EF4"/>
    <mergeCell ref="EG3:EI3"/>
    <mergeCell ref="EJ3:EJ4"/>
    <mergeCell ref="EK3:EK4"/>
    <mergeCell ref="EL3:EL4"/>
    <mergeCell ref="EM3:EM4"/>
    <mergeCell ref="DX3:DX4"/>
    <mergeCell ref="DY3:DY4"/>
    <mergeCell ref="DZ3:EB3"/>
    <mergeCell ref="EC3:EC4"/>
    <mergeCell ref="ED3:ED4"/>
    <mergeCell ref="EE3:EE4"/>
    <mergeCell ref="DP3:DP4"/>
    <mergeCell ref="DQ3:DQ4"/>
    <mergeCell ref="DR3:DR4"/>
    <mergeCell ref="DS3:DU3"/>
    <mergeCell ref="DV3:DV4"/>
    <mergeCell ref="DW3:DW4"/>
    <mergeCell ref="DH3:DH4"/>
    <mergeCell ref="DI3:DI4"/>
    <mergeCell ref="DJ3:DJ4"/>
    <mergeCell ref="DK3:DK4"/>
    <mergeCell ref="DL3:DN3"/>
    <mergeCell ref="DO3:DO4"/>
    <mergeCell ref="CX3:CZ3"/>
    <mergeCell ref="DA3:DA4"/>
    <mergeCell ref="DB3:DB4"/>
    <mergeCell ref="DC3:DC4"/>
    <mergeCell ref="DD3:DD4"/>
    <mergeCell ref="DE3:DG3"/>
    <mergeCell ref="CP3:CP4"/>
    <mergeCell ref="CQ3:CS3"/>
    <mergeCell ref="CT3:CT4"/>
    <mergeCell ref="CU3:CU4"/>
    <mergeCell ref="CV3:CV4"/>
    <mergeCell ref="CW3:CW4"/>
    <mergeCell ref="CH3:CH4"/>
    <mergeCell ref="CI3:CI4"/>
    <mergeCell ref="CJ3:CL3"/>
    <mergeCell ref="CM3:CM4"/>
    <mergeCell ref="CN3:CN4"/>
    <mergeCell ref="CO3:CO4"/>
    <mergeCell ref="BZ3:BZ4"/>
    <mergeCell ref="CA3:CA4"/>
    <mergeCell ref="CB3:CB4"/>
    <mergeCell ref="CC3:CE3"/>
    <mergeCell ref="CF3:CF4"/>
    <mergeCell ref="CG3:CG4"/>
    <mergeCell ref="BR3:BR4"/>
    <mergeCell ref="BS3:BS4"/>
    <mergeCell ref="BT3:BT4"/>
    <mergeCell ref="BU3:BU4"/>
    <mergeCell ref="BV3:BX3"/>
    <mergeCell ref="BY3:BY4"/>
    <mergeCell ref="BH3:BJ3"/>
    <mergeCell ref="BK3:BK4"/>
    <mergeCell ref="BL3:BL4"/>
    <mergeCell ref="BM3:BM4"/>
    <mergeCell ref="BN3:BN4"/>
    <mergeCell ref="BO3:BQ3"/>
    <mergeCell ref="AZ3:AZ4"/>
    <mergeCell ref="BA3:BC3"/>
    <mergeCell ref="BD3:BD4"/>
    <mergeCell ref="BE3:BE4"/>
    <mergeCell ref="BF3:BF4"/>
    <mergeCell ref="BG3:BG4"/>
    <mergeCell ref="AR3:AR4"/>
    <mergeCell ref="AS3:AS4"/>
    <mergeCell ref="AT3:AV3"/>
    <mergeCell ref="AW3:AW4"/>
    <mergeCell ref="AX3:AX4"/>
    <mergeCell ref="AY3:AY4"/>
    <mergeCell ref="AJ3:AJ4"/>
    <mergeCell ref="AK3:AK4"/>
    <mergeCell ref="AL3:AL4"/>
    <mergeCell ref="AM3:AO3"/>
    <mergeCell ref="AP3:AP4"/>
    <mergeCell ref="AQ3:AQ4"/>
    <mergeCell ref="AB3:AB4"/>
    <mergeCell ref="AC3:AC4"/>
    <mergeCell ref="AD3:AD4"/>
    <mergeCell ref="AE3:AE4"/>
    <mergeCell ref="AF3:AH3"/>
    <mergeCell ref="AI3:AI4"/>
    <mergeCell ref="R3:T3"/>
    <mergeCell ref="U3:U4"/>
    <mergeCell ref="V3:V4"/>
    <mergeCell ref="W3:W4"/>
    <mergeCell ref="X3:X4"/>
    <mergeCell ref="Y3:AA3"/>
    <mergeCell ref="I3:I4"/>
    <mergeCell ref="J3:J4"/>
    <mergeCell ref="AK2:AQ2"/>
    <mergeCell ref="AR2:AX2"/>
    <mergeCell ref="D3:F3"/>
    <mergeCell ref="K3:M3"/>
    <mergeCell ref="N3:N4"/>
    <mergeCell ref="O3:O4"/>
    <mergeCell ref="P3:P4"/>
    <mergeCell ref="Q3:Q4"/>
    <mergeCell ref="A3:A4"/>
    <mergeCell ref="B3:B4"/>
    <mergeCell ref="C3:C4"/>
    <mergeCell ref="G3:G4"/>
    <mergeCell ref="H3:H4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A66"/>
  <sheetViews>
    <sheetView zoomScalePageLayoutView="0" workbookViewId="0" topLeftCell="A1">
      <pane xSplit="1" topLeftCell="B1" activePane="topRight" state="frozen"/>
      <selection pane="topLeft" activeCell="A36" sqref="A36"/>
      <selection pane="topRight" activeCell="A12" sqref="A12"/>
    </sheetView>
  </sheetViews>
  <sheetFormatPr defaultColWidth="9.140625" defaultRowHeight="15"/>
  <cols>
    <col min="1" max="1" width="59.28125" style="139" bestFit="1" customWidth="1"/>
    <col min="2" max="2" width="12.57421875" style="139" bestFit="1" customWidth="1"/>
    <col min="3" max="3" width="14.28125" style="139" bestFit="1" customWidth="1"/>
    <col min="4" max="5" width="11.57421875" style="139" bestFit="1" customWidth="1"/>
    <col min="6" max="9" width="12.8515625" style="139" bestFit="1" customWidth="1"/>
    <col min="10" max="10" width="12.57421875" style="139" bestFit="1" customWidth="1"/>
    <col min="11" max="11" width="14.28125" style="139" bestFit="1" customWidth="1"/>
    <col min="12" max="12" width="12.8515625" style="139" bestFit="1" customWidth="1"/>
    <col min="13" max="13" width="14.28125" style="139" bestFit="1" customWidth="1"/>
    <col min="14" max="14" width="11.57421875" style="139" customWidth="1"/>
    <col min="15" max="16" width="12.00390625" style="139" bestFit="1" customWidth="1"/>
    <col min="17" max="17" width="12.57421875" style="139" bestFit="1" customWidth="1"/>
    <col min="18" max="19" width="12.8515625" style="139" bestFit="1" customWidth="1"/>
    <col min="20" max="20" width="12.57421875" style="139" bestFit="1" customWidth="1"/>
    <col min="21" max="22" width="14.28125" style="139" bestFit="1" customWidth="1"/>
    <col min="23" max="23" width="14.28125" style="139" customWidth="1"/>
    <col min="24" max="24" width="14.28125" style="139" bestFit="1" customWidth="1"/>
    <col min="25" max="25" width="14.421875" style="139" customWidth="1"/>
    <col min="26" max="27" width="12.57421875" style="139" bestFit="1" customWidth="1"/>
    <col min="28" max="28" width="12.8515625" style="139" customWidth="1"/>
    <col min="29" max="32" width="12.8515625" style="139" bestFit="1" customWidth="1"/>
    <col min="33" max="33" width="14.28125" style="139" bestFit="1" customWidth="1"/>
    <col min="34" max="37" width="12.8515625" style="139" bestFit="1" customWidth="1"/>
    <col min="38" max="43" width="14.28125" style="139" bestFit="1" customWidth="1"/>
    <col min="44" max="44" width="14.28125" style="139" customWidth="1"/>
    <col min="45" max="45" width="12.57421875" style="139" bestFit="1" customWidth="1"/>
    <col min="46" max="47" width="12.8515625" style="139" bestFit="1" customWidth="1"/>
    <col min="48" max="49" width="14.28125" style="139" bestFit="1" customWidth="1"/>
    <col min="50" max="53" width="15.57421875" style="139" bestFit="1" customWidth="1"/>
    <col min="54" max="16384" width="9.140625" style="139" customWidth="1"/>
  </cols>
  <sheetData>
    <row r="1" spans="1:53" ht="44.25" customHeight="1" thickBot="1">
      <c r="A1" s="1742" t="s">
        <v>526</v>
      </c>
      <c r="B1" s="1909" t="s">
        <v>187</v>
      </c>
      <c r="C1" s="1910"/>
      <c r="D1" s="1911" t="s">
        <v>465</v>
      </c>
      <c r="E1" s="1891"/>
      <c r="F1" s="1890" t="s">
        <v>189</v>
      </c>
      <c r="G1" s="1891"/>
      <c r="H1" s="1890" t="s">
        <v>190</v>
      </c>
      <c r="I1" s="1891"/>
      <c r="J1" s="1890" t="s">
        <v>459</v>
      </c>
      <c r="K1" s="1891"/>
      <c r="L1" s="1890" t="s">
        <v>192</v>
      </c>
      <c r="M1" s="1891"/>
      <c r="N1" s="1890" t="s">
        <v>193</v>
      </c>
      <c r="O1" s="1891"/>
      <c r="P1" s="1890" t="s">
        <v>259</v>
      </c>
      <c r="Q1" s="1891"/>
      <c r="R1" s="1890" t="s">
        <v>464</v>
      </c>
      <c r="S1" s="1891"/>
      <c r="T1" s="1890" t="s">
        <v>462</v>
      </c>
      <c r="U1" s="1891"/>
      <c r="V1" s="1890" t="s">
        <v>463</v>
      </c>
      <c r="W1" s="1891"/>
      <c r="X1" s="1890" t="s">
        <v>461</v>
      </c>
      <c r="Y1" s="1891"/>
      <c r="Z1" s="1890" t="s">
        <v>283</v>
      </c>
      <c r="AA1" s="1891"/>
      <c r="AB1" s="1890" t="s">
        <v>200</v>
      </c>
      <c r="AC1" s="1891"/>
      <c r="AD1" s="1888" t="s">
        <v>201</v>
      </c>
      <c r="AE1" s="1889"/>
      <c r="AF1" s="1890" t="s">
        <v>202</v>
      </c>
      <c r="AG1" s="1891"/>
      <c r="AH1" s="1890" t="s">
        <v>438</v>
      </c>
      <c r="AI1" s="1891"/>
      <c r="AJ1" s="1890" t="s">
        <v>204</v>
      </c>
      <c r="AK1" s="1890"/>
      <c r="AL1" s="1887" t="s">
        <v>205</v>
      </c>
      <c r="AM1" s="1889"/>
      <c r="AN1" s="1890" t="s">
        <v>206</v>
      </c>
      <c r="AO1" s="1891"/>
      <c r="AP1" s="1890" t="s">
        <v>207</v>
      </c>
      <c r="AQ1" s="1891"/>
      <c r="AR1" s="1890" t="s">
        <v>460</v>
      </c>
      <c r="AS1" s="1891"/>
      <c r="AT1" s="1890" t="s">
        <v>209</v>
      </c>
      <c r="AU1" s="1891"/>
      <c r="AV1" s="1907" t="s">
        <v>1</v>
      </c>
      <c r="AW1" s="1908"/>
      <c r="AX1" s="1888" t="s">
        <v>210</v>
      </c>
      <c r="AY1" s="1889"/>
      <c r="AZ1" s="1905" t="s">
        <v>2</v>
      </c>
      <c r="BA1" s="1906"/>
    </row>
    <row r="2" spans="1:53" ht="42.75" customHeight="1" thickBot="1">
      <c r="A2" s="1744" t="s">
        <v>0</v>
      </c>
      <c r="B2" s="1721" t="s">
        <v>517</v>
      </c>
      <c r="C2" s="931" t="s">
        <v>516</v>
      </c>
      <c r="D2" s="931" t="s">
        <v>517</v>
      </c>
      <c r="E2" s="1719" t="s">
        <v>516</v>
      </c>
      <c r="F2" s="1721" t="s">
        <v>517</v>
      </c>
      <c r="G2" s="1719" t="s">
        <v>516</v>
      </c>
      <c r="H2" s="1721" t="s">
        <v>517</v>
      </c>
      <c r="I2" s="1719" t="s">
        <v>516</v>
      </c>
      <c r="J2" s="1721" t="s">
        <v>517</v>
      </c>
      <c r="K2" s="1719" t="s">
        <v>516</v>
      </c>
      <c r="L2" s="1721" t="s">
        <v>517</v>
      </c>
      <c r="M2" s="1719" t="s">
        <v>516</v>
      </c>
      <c r="N2" s="1721" t="s">
        <v>517</v>
      </c>
      <c r="O2" s="1719" t="s">
        <v>516</v>
      </c>
      <c r="P2" s="1721" t="s">
        <v>517</v>
      </c>
      <c r="Q2" s="1719" t="s">
        <v>516</v>
      </c>
      <c r="R2" s="1721" t="s">
        <v>517</v>
      </c>
      <c r="S2" s="1719" t="s">
        <v>516</v>
      </c>
      <c r="T2" s="1721" t="s">
        <v>517</v>
      </c>
      <c r="U2" s="1719" t="s">
        <v>516</v>
      </c>
      <c r="V2" s="1721" t="s">
        <v>517</v>
      </c>
      <c r="W2" s="1719" t="s">
        <v>516</v>
      </c>
      <c r="X2" s="1721" t="s">
        <v>517</v>
      </c>
      <c r="Y2" s="1719" t="s">
        <v>516</v>
      </c>
      <c r="Z2" s="1721" t="s">
        <v>517</v>
      </c>
      <c r="AA2" s="1719" t="s">
        <v>516</v>
      </c>
      <c r="AB2" s="1721" t="s">
        <v>517</v>
      </c>
      <c r="AC2" s="1719" t="s">
        <v>516</v>
      </c>
      <c r="AD2" s="1721" t="s">
        <v>517</v>
      </c>
      <c r="AE2" s="1719" t="s">
        <v>516</v>
      </c>
      <c r="AF2" s="1721" t="s">
        <v>517</v>
      </c>
      <c r="AG2" s="1719" t="s">
        <v>516</v>
      </c>
      <c r="AH2" s="1721" t="s">
        <v>517</v>
      </c>
      <c r="AI2" s="1719" t="s">
        <v>516</v>
      </c>
      <c r="AJ2" s="1721" t="s">
        <v>517</v>
      </c>
      <c r="AK2" s="931" t="s">
        <v>516</v>
      </c>
      <c r="AL2" s="931" t="s">
        <v>517</v>
      </c>
      <c r="AM2" s="1719" t="s">
        <v>516</v>
      </c>
      <c r="AN2" s="1721" t="s">
        <v>517</v>
      </c>
      <c r="AO2" s="1719" t="s">
        <v>516</v>
      </c>
      <c r="AP2" s="1721" t="s">
        <v>517</v>
      </c>
      <c r="AQ2" s="1719" t="s">
        <v>516</v>
      </c>
      <c r="AR2" s="1721" t="s">
        <v>517</v>
      </c>
      <c r="AS2" s="1719" t="s">
        <v>516</v>
      </c>
      <c r="AT2" s="1721" t="s">
        <v>517</v>
      </c>
      <c r="AU2" s="1719" t="s">
        <v>516</v>
      </c>
      <c r="AV2" s="1721" t="s">
        <v>517</v>
      </c>
      <c r="AW2" s="1719" t="s">
        <v>516</v>
      </c>
      <c r="AX2" s="1721" t="s">
        <v>517</v>
      </c>
      <c r="AY2" s="1719" t="s">
        <v>516</v>
      </c>
      <c r="AZ2" s="1721" t="s">
        <v>517</v>
      </c>
      <c r="BA2" s="1719" t="s">
        <v>516</v>
      </c>
    </row>
    <row r="3" spans="1:53" ht="16.5">
      <c r="A3" s="237" t="s">
        <v>470</v>
      </c>
      <c r="B3" s="1743"/>
      <c r="C3" s="1741"/>
      <c r="D3" s="1739"/>
      <c r="E3" s="1741"/>
      <c r="F3" s="1739"/>
      <c r="G3" s="1741"/>
      <c r="H3" s="1739"/>
      <c r="I3" s="1741"/>
      <c r="J3" s="1739"/>
      <c r="K3" s="1741"/>
      <c r="L3" s="1739"/>
      <c r="M3" s="1740"/>
      <c r="N3" s="1743"/>
      <c r="O3" s="1740"/>
      <c r="P3" s="1743"/>
      <c r="Q3" s="1740"/>
      <c r="R3" s="1743"/>
      <c r="S3" s="1740"/>
      <c r="T3" s="1743"/>
      <c r="U3" s="1740"/>
      <c r="V3" s="1743"/>
      <c r="W3" s="1740"/>
      <c r="X3" s="1743"/>
      <c r="Y3" s="1741"/>
      <c r="Z3" s="1739"/>
      <c r="AA3" s="1741"/>
      <c r="AB3" s="1739"/>
      <c r="AC3" s="1740"/>
      <c r="AD3" s="1743"/>
      <c r="AE3" s="1741"/>
      <c r="AF3" s="1739"/>
      <c r="AG3" s="1741"/>
      <c r="AH3" s="1739"/>
      <c r="AI3" s="1740"/>
      <c r="AJ3" s="1743"/>
      <c r="AK3" s="1741"/>
      <c r="AL3" s="1739"/>
      <c r="AM3" s="1741"/>
      <c r="AN3" s="1739"/>
      <c r="AO3" s="1741"/>
      <c r="AP3" s="1739"/>
      <c r="AQ3" s="1741"/>
      <c r="AR3" s="1739"/>
      <c r="AS3" s="1741"/>
      <c r="AT3" s="1739"/>
      <c r="AU3" s="1741"/>
      <c r="AV3" s="1739"/>
      <c r="AW3" s="1741"/>
      <c r="AX3" s="1739"/>
      <c r="AY3" s="1741"/>
      <c r="AZ3" s="1739"/>
      <c r="BA3" s="1740"/>
    </row>
    <row r="4" spans="1:53" ht="16.5">
      <c r="A4" s="140" t="s">
        <v>471</v>
      </c>
      <c r="B4" s="767"/>
      <c r="C4" s="1722"/>
      <c r="D4" s="1720"/>
      <c r="E4" s="1722"/>
      <c r="F4" s="1720"/>
      <c r="G4" s="1722"/>
      <c r="H4" s="1720"/>
      <c r="I4" s="1722"/>
      <c r="J4" s="1720"/>
      <c r="K4" s="1722"/>
      <c r="L4" s="1720"/>
      <c r="M4" s="760"/>
      <c r="N4" s="767"/>
      <c r="O4" s="760"/>
      <c r="P4" s="767"/>
      <c r="Q4" s="760"/>
      <c r="R4" s="767"/>
      <c r="S4" s="760"/>
      <c r="T4" s="767"/>
      <c r="U4" s="760"/>
      <c r="V4" s="767"/>
      <c r="W4" s="760"/>
      <c r="X4" s="767"/>
      <c r="Y4" s="1722"/>
      <c r="Z4" s="1720"/>
      <c r="AA4" s="1722"/>
      <c r="AB4" s="1720"/>
      <c r="AC4" s="760"/>
      <c r="AD4" s="767"/>
      <c r="AE4" s="1722"/>
      <c r="AF4" s="1720"/>
      <c r="AG4" s="1722"/>
      <c r="AH4" s="1720"/>
      <c r="AI4" s="760"/>
      <c r="AJ4" s="767"/>
      <c r="AK4" s="1722"/>
      <c r="AL4" s="1720"/>
      <c r="AM4" s="1722"/>
      <c r="AN4" s="1720"/>
      <c r="AO4" s="1722"/>
      <c r="AP4" s="1720"/>
      <c r="AQ4" s="1722"/>
      <c r="AR4" s="1720"/>
      <c r="AS4" s="1722"/>
      <c r="AT4" s="1720"/>
      <c r="AU4" s="1722"/>
      <c r="AV4" s="1720"/>
      <c r="AW4" s="1722"/>
      <c r="AX4" s="1720"/>
      <c r="AY4" s="1722"/>
      <c r="AZ4" s="1720"/>
      <c r="BA4" s="760"/>
    </row>
    <row r="5" spans="1:53" ht="16.5">
      <c r="A5" s="140" t="s">
        <v>505</v>
      </c>
      <c r="B5" s="1724">
        <v>19012080</v>
      </c>
      <c r="C5" s="1723">
        <v>19012081</v>
      </c>
      <c r="D5" s="1720">
        <v>14631092</v>
      </c>
      <c r="E5" s="1722">
        <v>14426194</v>
      </c>
      <c r="F5" s="1720">
        <v>20049000</v>
      </c>
      <c r="G5" s="1722">
        <v>20049000</v>
      </c>
      <c r="H5" s="1720">
        <v>1507090</v>
      </c>
      <c r="I5" s="1722">
        <v>1507090</v>
      </c>
      <c r="J5" s="1720">
        <v>25762010</v>
      </c>
      <c r="K5" s="1722">
        <v>24062010</v>
      </c>
      <c r="L5" s="1720">
        <v>9500000</v>
      </c>
      <c r="M5" s="760">
        <f>L5</f>
        <v>9500000</v>
      </c>
      <c r="N5" s="767">
        <v>3740619</v>
      </c>
      <c r="O5" s="760">
        <v>3740619</v>
      </c>
      <c r="P5" s="767">
        <v>3126209</v>
      </c>
      <c r="Q5" s="760">
        <f>P5</f>
        <v>3126209</v>
      </c>
      <c r="R5" s="767">
        <v>18500000</v>
      </c>
      <c r="S5" s="760">
        <v>17500000</v>
      </c>
      <c r="T5" s="767">
        <v>18878206</v>
      </c>
      <c r="U5" s="760">
        <v>17728206</v>
      </c>
      <c r="V5" s="767">
        <v>20174891</v>
      </c>
      <c r="W5" s="760">
        <v>20125177</v>
      </c>
      <c r="X5" s="767">
        <v>14358395</v>
      </c>
      <c r="Y5" s="1722">
        <v>14355550</v>
      </c>
      <c r="Z5" s="1720">
        <v>8000000</v>
      </c>
      <c r="AA5" s="1722">
        <f>Z5</f>
        <v>8000000</v>
      </c>
      <c r="AB5" s="1720">
        <v>6250000</v>
      </c>
      <c r="AC5" s="760">
        <f>AB5</f>
        <v>6250000</v>
      </c>
      <c r="AD5" s="767">
        <v>5102902</v>
      </c>
      <c r="AE5" s="1722"/>
      <c r="AF5" s="1720">
        <v>19188129</v>
      </c>
      <c r="AG5" s="1722">
        <f>AF5</f>
        <v>19188129</v>
      </c>
      <c r="AH5" s="1720">
        <v>20128843</v>
      </c>
      <c r="AI5" s="760">
        <v>20128843</v>
      </c>
      <c r="AJ5" s="767">
        <v>11963235</v>
      </c>
      <c r="AK5" s="1722">
        <v>11963235</v>
      </c>
      <c r="AL5" s="1720">
        <v>10000000</v>
      </c>
      <c r="AM5" s="1722">
        <f>AL5</f>
        <v>10000000</v>
      </c>
      <c r="AN5" s="1720">
        <v>10000000</v>
      </c>
      <c r="AO5" s="1722">
        <f>AN5</f>
        <v>10000000</v>
      </c>
      <c r="AP5" s="1720">
        <v>1753939</v>
      </c>
      <c r="AQ5" s="1722">
        <v>1750966</v>
      </c>
      <c r="AR5" s="1720">
        <v>2589641</v>
      </c>
      <c r="AS5" s="1722">
        <v>2589641</v>
      </c>
      <c r="AT5" s="1720">
        <v>19535000</v>
      </c>
      <c r="AU5" s="1722">
        <f>AT5</f>
        <v>19535000</v>
      </c>
      <c r="AV5" s="1720">
        <f aca="true" t="shared" si="0" ref="AV5:AV66">B5+D5+F5+H5+J5+L5+N5+P5+R5+T5+V5+X5+Z5+AB5+AD5+AF5+AH5+AJ5+AL5+AN5+AP5+AR5+AT5</f>
        <v>283751281</v>
      </c>
      <c r="AW5" s="1722">
        <f aca="true" t="shared" si="1" ref="AW5:AW66">C5+E5+G5+I5+K5+M5+O5+Q5+S5+U5+W5+Y5+AA5+AC5+AE5+AG5+AI5+AK5+AM5+AO5+AQ5+AS5+AU5</f>
        <v>274537950</v>
      </c>
      <c r="AX5" s="1720">
        <v>1000000</v>
      </c>
      <c r="AY5" s="1722">
        <f>AX5</f>
        <v>1000000</v>
      </c>
      <c r="AZ5" s="1720">
        <f>AV5+AX5</f>
        <v>284751281</v>
      </c>
      <c r="BA5" s="760">
        <f>AW5+AY5</f>
        <v>275537950</v>
      </c>
    </row>
    <row r="6" spans="1:53" ht="16.5">
      <c r="A6" s="140" t="s">
        <v>520</v>
      </c>
      <c r="B6" s="1724"/>
      <c r="C6" s="1723"/>
      <c r="D6" s="1720">
        <v>616349</v>
      </c>
      <c r="E6" s="1722"/>
      <c r="F6" s="1720"/>
      <c r="G6" s="1722"/>
      <c r="H6" s="1720"/>
      <c r="I6" s="1722"/>
      <c r="J6" s="1720"/>
      <c r="K6" s="1722"/>
      <c r="L6" s="1720"/>
      <c r="M6" s="760"/>
      <c r="N6" s="767"/>
      <c r="O6" s="760"/>
      <c r="P6" s="767"/>
      <c r="Q6" s="760"/>
      <c r="R6" s="767"/>
      <c r="S6" s="760"/>
      <c r="T6" s="767"/>
      <c r="U6" s="760"/>
      <c r="V6" s="767">
        <v>380</v>
      </c>
      <c r="W6" s="760">
        <v>3798</v>
      </c>
      <c r="X6" s="767"/>
      <c r="Y6" s="1722">
        <v>1389</v>
      </c>
      <c r="Z6" s="1720"/>
      <c r="AA6" s="1722"/>
      <c r="AB6" s="1720"/>
      <c r="AC6" s="760"/>
      <c r="AD6" s="767"/>
      <c r="AE6" s="1722">
        <v>5102902</v>
      </c>
      <c r="AF6" s="1720"/>
      <c r="AG6" s="1722"/>
      <c r="AH6" s="1720"/>
      <c r="AI6" s="760"/>
      <c r="AJ6" s="767"/>
      <c r="AK6" s="1722"/>
      <c r="AL6" s="1720"/>
      <c r="AM6" s="1722"/>
      <c r="AN6" s="1720"/>
      <c r="AO6" s="1722"/>
      <c r="AP6" s="1720"/>
      <c r="AQ6" s="1722"/>
      <c r="AR6" s="1720"/>
      <c r="AS6" s="1722"/>
      <c r="AT6" s="1720"/>
      <c r="AU6" s="1722"/>
      <c r="AV6" s="1720">
        <f t="shared" si="0"/>
        <v>616729</v>
      </c>
      <c r="AW6" s="1722">
        <f t="shared" si="1"/>
        <v>5108089</v>
      </c>
      <c r="AX6" s="1720"/>
      <c r="AY6" s="1722"/>
      <c r="AZ6" s="1720">
        <f aca="true" t="shared" si="2" ref="AZ6:AZ66">AV6+AX6</f>
        <v>616729</v>
      </c>
      <c r="BA6" s="760">
        <f aca="true" t="shared" si="3" ref="BA6:BA66">AW6+AY6</f>
        <v>5108089</v>
      </c>
    </row>
    <row r="7" spans="1:53" ht="16.5">
      <c r="A7" s="140" t="s">
        <v>506</v>
      </c>
      <c r="B7" s="1724">
        <v>2682948</v>
      </c>
      <c r="C7" s="1723">
        <f>B7</f>
        <v>2682948</v>
      </c>
      <c r="D7" s="1720">
        <v>6466905</v>
      </c>
      <c r="E7" s="1722">
        <v>4837305</v>
      </c>
      <c r="F7" s="1720"/>
      <c r="G7" s="1722"/>
      <c r="H7" s="1720">
        <v>95013950</v>
      </c>
      <c r="I7" s="1722">
        <v>92028209</v>
      </c>
      <c r="J7" s="1720">
        <v>2122314</v>
      </c>
      <c r="K7" s="1722">
        <v>2074442</v>
      </c>
      <c r="L7" s="1720">
        <v>1250000</v>
      </c>
      <c r="M7" s="760">
        <f>L7</f>
        <v>1250000</v>
      </c>
      <c r="N7" s="767">
        <v>8329217</v>
      </c>
      <c r="O7" s="760">
        <v>8329217</v>
      </c>
      <c r="P7" s="767">
        <v>16848478</v>
      </c>
      <c r="Q7" s="760">
        <f>P7</f>
        <v>16848478</v>
      </c>
      <c r="R7" s="767"/>
      <c r="S7" s="760"/>
      <c r="T7" s="767"/>
      <c r="U7" s="760"/>
      <c r="V7" s="767">
        <v>40668676</v>
      </c>
      <c r="W7" s="760">
        <v>30928332</v>
      </c>
      <c r="X7" s="767">
        <v>57206464</v>
      </c>
      <c r="Y7" s="1722">
        <v>48500199</v>
      </c>
      <c r="Z7" s="1720">
        <v>246643</v>
      </c>
      <c r="AA7" s="1722"/>
      <c r="AB7" s="1720">
        <v>1400000</v>
      </c>
      <c r="AC7" s="760">
        <v>1350000</v>
      </c>
      <c r="AD7" s="767">
        <v>22724771</v>
      </c>
      <c r="AE7" s="1722">
        <v>17593850</v>
      </c>
      <c r="AF7" s="1720">
        <v>5967737</v>
      </c>
      <c r="AG7" s="1722">
        <v>6488994</v>
      </c>
      <c r="AH7" s="1720"/>
      <c r="AI7" s="760"/>
      <c r="AJ7" s="767">
        <v>3031592</v>
      </c>
      <c r="AK7" s="1722">
        <v>3031592</v>
      </c>
      <c r="AL7" s="1720">
        <v>68320448</v>
      </c>
      <c r="AM7" s="1722">
        <v>57287708</v>
      </c>
      <c r="AN7" s="1720">
        <v>68320448</v>
      </c>
      <c r="AO7" s="1722">
        <v>57287708</v>
      </c>
      <c r="AP7" s="1720">
        <v>4435769</v>
      </c>
      <c r="AQ7" s="1722">
        <v>4054606</v>
      </c>
      <c r="AR7" s="1720">
        <v>3283341</v>
      </c>
      <c r="AS7" s="1722">
        <v>2686056</v>
      </c>
      <c r="AT7" s="1720">
        <v>616932</v>
      </c>
      <c r="AU7" s="1722">
        <v>259637</v>
      </c>
      <c r="AV7" s="1720">
        <f t="shared" si="0"/>
        <v>408936633</v>
      </c>
      <c r="AW7" s="1722">
        <f t="shared" si="1"/>
        <v>357519281</v>
      </c>
      <c r="AX7" s="1720">
        <v>5577557</v>
      </c>
      <c r="AY7" s="1722">
        <v>5262379</v>
      </c>
      <c r="AZ7" s="1720">
        <f t="shared" si="2"/>
        <v>414514190</v>
      </c>
      <c r="BA7" s="760">
        <f t="shared" si="3"/>
        <v>362781660</v>
      </c>
    </row>
    <row r="8" spans="1:53" ht="16.5">
      <c r="A8" s="140" t="s">
        <v>472</v>
      </c>
      <c r="B8" s="1724">
        <v>109586</v>
      </c>
      <c r="C8" s="1723">
        <v>401736</v>
      </c>
      <c r="D8" s="1720"/>
      <c r="E8" s="1722">
        <v>59</v>
      </c>
      <c r="F8" s="1720">
        <v>-8071</v>
      </c>
      <c r="G8" s="1722">
        <v>-3328</v>
      </c>
      <c r="H8" s="1720">
        <v>599520</v>
      </c>
      <c r="I8" s="1722">
        <v>278144</v>
      </c>
      <c r="J8" s="1720">
        <v>-17588</v>
      </c>
      <c r="K8" s="1722">
        <v>-22109</v>
      </c>
      <c r="L8" s="1720">
        <v>20521</v>
      </c>
      <c r="M8" s="760">
        <v>1549</v>
      </c>
      <c r="N8" s="767">
        <v>-719011</v>
      </c>
      <c r="O8" s="760">
        <v>-362321</v>
      </c>
      <c r="P8" s="767">
        <v>50581</v>
      </c>
      <c r="Q8" s="760">
        <v>-43216</v>
      </c>
      <c r="R8" s="767">
        <v>11</v>
      </c>
      <c r="S8" s="760">
        <v>95</v>
      </c>
      <c r="T8" s="767">
        <v>39203</v>
      </c>
      <c r="U8" s="760">
        <v>21490</v>
      </c>
      <c r="V8" s="767">
        <v>-26452</v>
      </c>
      <c r="W8" s="760">
        <v>144029</v>
      </c>
      <c r="X8" s="767">
        <v>140688</v>
      </c>
      <c r="Y8" s="1722">
        <v>3294014</v>
      </c>
      <c r="Z8" s="1720">
        <v>-18605</v>
      </c>
      <c r="AA8" s="1722">
        <v>-14055</v>
      </c>
      <c r="AB8" s="1720">
        <v>6302</v>
      </c>
      <c r="AC8" s="760">
        <v>-5534</v>
      </c>
      <c r="AD8" s="767"/>
      <c r="AE8" s="1722"/>
      <c r="AF8" s="1720">
        <v>43074</v>
      </c>
      <c r="AG8" s="1722">
        <v>137521</v>
      </c>
      <c r="AH8" s="1720">
        <v>-1406</v>
      </c>
      <c r="AI8" s="760">
        <v>-732</v>
      </c>
      <c r="AJ8" s="767">
        <v>172728</v>
      </c>
      <c r="AK8" s="1722">
        <v>229337</v>
      </c>
      <c r="AL8" s="1720">
        <v>1093649</v>
      </c>
      <c r="AM8" s="1722">
        <v>946986</v>
      </c>
      <c r="AN8" s="1720">
        <v>1093649</v>
      </c>
      <c r="AO8" s="1722">
        <v>946986</v>
      </c>
      <c r="AP8" s="1720">
        <v>14418</v>
      </c>
      <c r="AQ8" s="1722">
        <v>177673</v>
      </c>
      <c r="AR8" s="1720">
        <v>2959</v>
      </c>
      <c r="AS8" s="1722">
        <v>-20499</v>
      </c>
      <c r="AT8" s="1720"/>
      <c r="AU8" s="1722">
        <v>170622</v>
      </c>
      <c r="AV8" s="1720">
        <f t="shared" si="0"/>
        <v>2595756</v>
      </c>
      <c r="AW8" s="1722">
        <f t="shared" si="1"/>
        <v>6278447</v>
      </c>
      <c r="AX8" s="1720">
        <v>266618</v>
      </c>
      <c r="AY8" s="1722">
        <v>255669</v>
      </c>
      <c r="AZ8" s="1720">
        <f t="shared" si="2"/>
        <v>2862374</v>
      </c>
      <c r="BA8" s="760">
        <f t="shared" si="3"/>
        <v>6534116</v>
      </c>
    </row>
    <row r="9" spans="1:53" s="1730" customFormat="1" ht="18">
      <c r="A9" s="179" t="s">
        <v>473</v>
      </c>
      <c r="B9" s="1731">
        <f aca="true" t="shared" si="4" ref="B9:O9">SUM(B5:B8)</f>
        <v>21804614</v>
      </c>
      <c r="C9" s="1732">
        <f t="shared" si="4"/>
        <v>22096765</v>
      </c>
      <c r="D9" s="1733">
        <f t="shared" si="4"/>
        <v>21714346</v>
      </c>
      <c r="E9" s="1732">
        <f t="shared" si="4"/>
        <v>19263558</v>
      </c>
      <c r="F9" s="1733">
        <f t="shared" si="4"/>
        <v>20040929</v>
      </c>
      <c r="G9" s="1732">
        <f t="shared" si="4"/>
        <v>20045672</v>
      </c>
      <c r="H9" s="1733">
        <f t="shared" si="4"/>
        <v>97120560</v>
      </c>
      <c r="I9" s="1732">
        <f t="shared" si="4"/>
        <v>93813443</v>
      </c>
      <c r="J9" s="1733">
        <f t="shared" si="4"/>
        <v>27866736</v>
      </c>
      <c r="K9" s="1732">
        <f t="shared" si="4"/>
        <v>26114343</v>
      </c>
      <c r="L9" s="1733">
        <f t="shared" si="4"/>
        <v>10770521</v>
      </c>
      <c r="M9" s="1734">
        <f t="shared" si="4"/>
        <v>10751549</v>
      </c>
      <c r="N9" s="1731">
        <f t="shared" si="4"/>
        <v>11350825</v>
      </c>
      <c r="O9" s="1734">
        <f t="shared" si="4"/>
        <v>11707515</v>
      </c>
      <c r="P9" s="1731">
        <f aca="true" t="shared" si="5" ref="P9:Y9">SUM(P5:P8)</f>
        <v>20025268</v>
      </c>
      <c r="Q9" s="1734">
        <f t="shared" si="5"/>
        <v>19931471</v>
      </c>
      <c r="R9" s="1731">
        <f t="shared" si="5"/>
        <v>18500011</v>
      </c>
      <c r="S9" s="1734">
        <f t="shared" si="5"/>
        <v>17500095</v>
      </c>
      <c r="T9" s="1731">
        <f t="shared" si="5"/>
        <v>18917409</v>
      </c>
      <c r="U9" s="1734">
        <f t="shared" si="5"/>
        <v>17749696</v>
      </c>
      <c r="V9" s="1731">
        <f t="shared" si="5"/>
        <v>60817495</v>
      </c>
      <c r="W9" s="1734">
        <f t="shared" si="5"/>
        <v>51201336</v>
      </c>
      <c r="X9" s="1731">
        <f t="shared" si="5"/>
        <v>71705547</v>
      </c>
      <c r="Y9" s="1732">
        <f t="shared" si="5"/>
        <v>66151152</v>
      </c>
      <c r="Z9" s="1735">
        <v>8228038</v>
      </c>
      <c r="AA9" s="1736">
        <v>7985945</v>
      </c>
      <c r="AB9" s="1735">
        <v>7656302</v>
      </c>
      <c r="AC9" s="1737">
        <v>7594465</v>
      </c>
      <c r="AD9" s="1738">
        <v>27827673</v>
      </c>
      <c r="AE9" s="1736">
        <v>22696752</v>
      </c>
      <c r="AF9" s="1735">
        <v>25198940</v>
      </c>
      <c r="AG9" s="1736">
        <v>25814644</v>
      </c>
      <c r="AH9" s="1735">
        <v>20127437</v>
      </c>
      <c r="AI9" s="1737">
        <v>21128111</v>
      </c>
      <c r="AJ9" s="1738">
        <v>15167555</v>
      </c>
      <c r="AK9" s="1736">
        <v>15224164</v>
      </c>
      <c r="AL9" s="1735">
        <f>SUM(AL5:AL8)</f>
        <v>79414097</v>
      </c>
      <c r="AM9" s="1736">
        <f>SUM(AM5:AM8)</f>
        <v>68234694</v>
      </c>
      <c r="AN9" s="1735">
        <f>SUM(AN5:AN8)</f>
        <v>79414097</v>
      </c>
      <c r="AO9" s="1736">
        <f>SUM(AO5:AO8)</f>
        <v>68234694</v>
      </c>
      <c r="AP9" s="1735">
        <f aca="true" t="shared" si="6" ref="AP9:AU9">SUM(AP5:AP8)</f>
        <v>6204126</v>
      </c>
      <c r="AQ9" s="1736">
        <f t="shared" si="6"/>
        <v>5983245</v>
      </c>
      <c r="AR9" s="1735">
        <f t="shared" si="6"/>
        <v>5875941</v>
      </c>
      <c r="AS9" s="1736">
        <f t="shared" si="6"/>
        <v>5255198</v>
      </c>
      <c r="AT9" s="1735">
        <f t="shared" si="6"/>
        <v>20151932</v>
      </c>
      <c r="AU9" s="1736">
        <f t="shared" si="6"/>
        <v>19965259</v>
      </c>
      <c r="AV9" s="1720">
        <f t="shared" si="0"/>
        <v>695900399</v>
      </c>
      <c r="AW9" s="1722">
        <f t="shared" si="1"/>
        <v>644443766</v>
      </c>
      <c r="AX9" s="1735">
        <f>SUM(AX5:AX8)</f>
        <v>6844175</v>
      </c>
      <c r="AY9" s="1736">
        <f>SUM(AY5:AY8)</f>
        <v>6518048</v>
      </c>
      <c r="AZ9" s="1720">
        <f t="shared" si="2"/>
        <v>702744574</v>
      </c>
      <c r="BA9" s="760">
        <f t="shared" si="3"/>
        <v>650961814</v>
      </c>
    </row>
    <row r="10" spans="1:53" ht="16.5">
      <c r="A10" s="140" t="s">
        <v>507</v>
      </c>
      <c r="B10" s="1724"/>
      <c r="C10" s="1723"/>
      <c r="D10" s="1720">
        <v>700000</v>
      </c>
      <c r="E10" s="1722">
        <v>700000</v>
      </c>
      <c r="F10" s="1720"/>
      <c r="G10" s="1722"/>
      <c r="H10" s="1720"/>
      <c r="I10" s="1722"/>
      <c r="J10" s="1720">
        <v>600000</v>
      </c>
      <c r="K10" s="1722">
        <v>600000</v>
      </c>
      <c r="L10" s="1720"/>
      <c r="M10" s="760"/>
      <c r="N10" s="767"/>
      <c r="O10" s="760"/>
      <c r="P10" s="767"/>
      <c r="Q10" s="760"/>
      <c r="R10" s="767"/>
      <c r="S10" s="760"/>
      <c r="T10" s="767"/>
      <c r="U10" s="760"/>
      <c r="V10" s="767"/>
      <c r="W10" s="760"/>
      <c r="X10" s="767"/>
      <c r="Y10" s="1722"/>
      <c r="Z10" s="1720"/>
      <c r="AA10" s="1722"/>
      <c r="AB10" s="1720">
        <v>1000000</v>
      </c>
      <c r="AC10" s="760">
        <f>AB10</f>
        <v>1000000</v>
      </c>
      <c r="AD10" s="767"/>
      <c r="AE10" s="1722"/>
      <c r="AF10" s="1720"/>
      <c r="AG10" s="1722"/>
      <c r="AH10" s="1720">
        <v>47179</v>
      </c>
      <c r="AI10" s="760">
        <v>105203</v>
      </c>
      <c r="AJ10" s="767"/>
      <c r="AK10" s="1722"/>
      <c r="AL10" s="1720"/>
      <c r="AM10" s="1722"/>
      <c r="AN10" s="1720"/>
      <c r="AO10" s="1722"/>
      <c r="AP10" s="1720"/>
      <c r="AQ10" s="1722"/>
      <c r="AR10" s="1720"/>
      <c r="AS10" s="1722"/>
      <c r="AT10" s="1720"/>
      <c r="AU10" s="1722"/>
      <c r="AV10" s="1720">
        <f t="shared" si="0"/>
        <v>2347179</v>
      </c>
      <c r="AW10" s="1722">
        <f t="shared" si="1"/>
        <v>2405203</v>
      </c>
      <c r="AX10" s="1720"/>
      <c r="AY10" s="1722"/>
      <c r="AZ10" s="1720">
        <f t="shared" si="2"/>
        <v>2347179</v>
      </c>
      <c r="BA10" s="760">
        <f t="shared" si="3"/>
        <v>2405203</v>
      </c>
    </row>
    <row r="11" spans="1:53" ht="16.5">
      <c r="A11" s="179" t="s">
        <v>474</v>
      </c>
      <c r="B11" s="1724"/>
      <c r="C11" s="1723"/>
      <c r="D11" s="1720"/>
      <c r="E11" s="1722"/>
      <c r="F11" s="1720"/>
      <c r="G11" s="1722"/>
      <c r="H11" s="1720"/>
      <c r="I11" s="1722"/>
      <c r="J11" s="1720"/>
      <c r="K11" s="1722"/>
      <c r="L11" s="1720"/>
      <c r="M11" s="760"/>
      <c r="N11" s="767"/>
      <c r="O11" s="760"/>
      <c r="P11" s="767"/>
      <c r="Q11" s="760"/>
      <c r="R11" s="767"/>
      <c r="S11" s="760"/>
      <c r="T11" s="767"/>
      <c r="U11" s="760"/>
      <c r="V11" s="767"/>
      <c r="W11" s="760"/>
      <c r="X11" s="767"/>
      <c r="Y11" s="1722"/>
      <c r="Z11" s="1720"/>
      <c r="AA11" s="1722"/>
      <c r="AB11" s="1720"/>
      <c r="AC11" s="760"/>
      <c r="AD11" s="767"/>
      <c r="AE11" s="1722"/>
      <c r="AF11" s="1720"/>
      <c r="AG11" s="1722"/>
      <c r="AH11" s="1720"/>
      <c r="AI11" s="760"/>
      <c r="AJ11" s="767"/>
      <c r="AK11" s="1722"/>
      <c r="AL11" s="1720"/>
      <c r="AM11" s="1722"/>
      <c r="AN11" s="1720"/>
      <c r="AO11" s="1722"/>
      <c r="AP11" s="1720"/>
      <c r="AQ11" s="1722"/>
      <c r="AR11" s="1720"/>
      <c r="AS11" s="1722"/>
      <c r="AT11" s="1720"/>
      <c r="AU11" s="1722"/>
      <c r="AV11" s="1720">
        <f t="shared" si="0"/>
        <v>0</v>
      </c>
      <c r="AW11" s="1722">
        <f t="shared" si="1"/>
        <v>0</v>
      </c>
      <c r="AX11" s="1720"/>
      <c r="AY11" s="1722"/>
      <c r="AZ11" s="1720">
        <f t="shared" si="2"/>
        <v>0</v>
      </c>
      <c r="BA11" s="760">
        <f t="shared" si="3"/>
        <v>0</v>
      </c>
    </row>
    <row r="12" spans="1:53" ht="16.5">
      <c r="A12" s="140" t="s">
        <v>472</v>
      </c>
      <c r="B12" s="1724">
        <v>830775</v>
      </c>
      <c r="C12" s="1723">
        <v>468783</v>
      </c>
      <c r="D12" s="1720">
        <v>10390</v>
      </c>
      <c r="E12" s="1722">
        <v>3023</v>
      </c>
      <c r="F12" s="1720">
        <v>-61948</v>
      </c>
      <c r="G12" s="1722">
        <v>-27599</v>
      </c>
      <c r="H12" s="1720">
        <v>9196213</v>
      </c>
      <c r="I12" s="1722">
        <v>9312901</v>
      </c>
      <c r="J12" s="1720">
        <v>30985</v>
      </c>
      <c r="K12" s="1722">
        <v>-73418</v>
      </c>
      <c r="L12" s="1720">
        <v>-25323</v>
      </c>
      <c r="M12" s="760">
        <v>13218</v>
      </c>
      <c r="N12" s="767">
        <v>934</v>
      </c>
      <c r="O12" s="760">
        <v>-2548</v>
      </c>
      <c r="P12" s="767">
        <v>10156</v>
      </c>
      <c r="Q12" s="760">
        <v>-7794</v>
      </c>
      <c r="R12" s="767">
        <v>256277</v>
      </c>
      <c r="S12" s="760">
        <v>266944</v>
      </c>
      <c r="T12" s="767">
        <v>83755</v>
      </c>
      <c r="U12" s="760">
        <v>52349</v>
      </c>
      <c r="V12" s="767">
        <v>10295735</v>
      </c>
      <c r="W12" s="760">
        <v>8315675</v>
      </c>
      <c r="X12" s="767">
        <v>18640267</v>
      </c>
      <c r="Y12" s="1722">
        <v>20772638</v>
      </c>
      <c r="Z12" s="1720">
        <v>-129249</v>
      </c>
      <c r="AA12" s="1722">
        <v>-70341</v>
      </c>
      <c r="AB12" s="1720">
        <v>55338</v>
      </c>
      <c r="AC12" s="760">
        <v>-168956</v>
      </c>
      <c r="AD12" s="767">
        <v>2196479</v>
      </c>
      <c r="AE12" s="1722">
        <v>3295441</v>
      </c>
      <c r="AF12" s="1720">
        <v>5256043</v>
      </c>
      <c r="AG12" s="1722">
        <v>2703981</v>
      </c>
      <c r="AH12" s="1720">
        <v>-20376</v>
      </c>
      <c r="AI12" s="760">
        <v>168396</v>
      </c>
      <c r="AJ12" s="767">
        <v>653800</v>
      </c>
      <c r="AK12" s="1722">
        <v>1353682</v>
      </c>
      <c r="AL12" s="1720">
        <v>9488151</v>
      </c>
      <c r="AM12" s="1722">
        <v>8726663</v>
      </c>
      <c r="AN12" s="1720">
        <v>9488151</v>
      </c>
      <c r="AO12" s="1722">
        <v>8726663</v>
      </c>
      <c r="AP12" s="1720">
        <v>162752</v>
      </c>
      <c r="AQ12" s="1722">
        <v>216046</v>
      </c>
      <c r="AR12" s="1720">
        <v>16876</v>
      </c>
      <c r="AS12" s="1722">
        <v>-115797</v>
      </c>
      <c r="AT12" s="1720">
        <v>7428363</v>
      </c>
      <c r="AU12" s="1722">
        <v>6297284</v>
      </c>
      <c r="AV12" s="1720">
        <f t="shared" si="0"/>
        <v>73864544</v>
      </c>
      <c r="AW12" s="1722">
        <f t="shared" si="1"/>
        <v>70227234</v>
      </c>
      <c r="AX12" s="1720">
        <v>2089100119</v>
      </c>
      <c r="AY12" s="1722">
        <v>2004822316</v>
      </c>
      <c r="AZ12" s="1720">
        <f t="shared" si="2"/>
        <v>2162964663</v>
      </c>
      <c r="BA12" s="760">
        <f t="shared" si="3"/>
        <v>2075049550</v>
      </c>
    </row>
    <row r="13" spans="1:53" ht="16.5">
      <c r="A13" s="140" t="s">
        <v>525</v>
      </c>
      <c r="B13" s="1724"/>
      <c r="C13" s="1723"/>
      <c r="D13" s="1720"/>
      <c r="E13" s="1722"/>
      <c r="F13" s="1720"/>
      <c r="G13" s="1722"/>
      <c r="H13" s="1720"/>
      <c r="I13" s="1722"/>
      <c r="J13" s="1720"/>
      <c r="K13" s="1722"/>
      <c r="L13" s="1720"/>
      <c r="M13" s="760"/>
      <c r="N13" s="767"/>
      <c r="O13" s="760"/>
      <c r="P13" s="767"/>
      <c r="Q13" s="760"/>
      <c r="R13" s="767"/>
      <c r="S13" s="760"/>
      <c r="T13" s="767"/>
      <c r="U13" s="760"/>
      <c r="V13" s="767"/>
      <c r="W13" s="760"/>
      <c r="X13" s="767"/>
      <c r="Y13" s="1722"/>
      <c r="Z13" s="1720"/>
      <c r="AA13" s="1722"/>
      <c r="AB13" s="1720"/>
      <c r="AC13" s="760"/>
      <c r="AD13" s="767">
        <v>343721</v>
      </c>
      <c r="AE13" s="1722">
        <f>AD13</f>
        <v>343721</v>
      </c>
      <c r="AF13" s="1720">
        <v>22248</v>
      </c>
      <c r="AG13" s="1722">
        <v>1111</v>
      </c>
      <c r="AH13" s="1720"/>
      <c r="AI13" s="760"/>
      <c r="AJ13" s="767"/>
      <c r="AK13" s="1722"/>
      <c r="AL13" s="1720"/>
      <c r="AM13" s="1722"/>
      <c r="AN13" s="1720"/>
      <c r="AO13" s="1722"/>
      <c r="AP13" s="1720"/>
      <c r="AQ13" s="1722"/>
      <c r="AR13" s="1720"/>
      <c r="AS13" s="1722"/>
      <c r="AT13" s="1720"/>
      <c r="AU13" s="1722"/>
      <c r="AV13" s="1720">
        <f t="shared" si="0"/>
        <v>365969</v>
      </c>
      <c r="AW13" s="1722">
        <f t="shared" si="1"/>
        <v>344832</v>
      </c>
      <c r="AX13" s="1720"/>
      <c r="AY13" s="1722"/>
      <c r="AZ13" s="1720">
        <f t="shared" si="2"/>
        <v>365969</v>
      </c>
      <c r="BA13" s="760">
        <f t="shared" si="3"/>
        <v>344832</v>
      </c>
    </row>
    <row r="14" spans="1:53" ht="16.5">
      <c r="A14" s="140" t="s">
        <v>475</v>
      </c>
      <c r="B14" s="1724">
        <v>143233245</v>
      </c>
      <c r="C14" s="1723">
        <v>116039127</v>
      </c>
      <c r="D14" s="1720">
        <v>12814963</v>
      </c>
      <c r="E14" s="1722">
        <v>10643308</v>
      </c>
      <c r="F14" s="1720"/>
      <c r="G14" s="1722"/>
      <c r="H14" s="1720"/>
      <c r="I14" s="1722"/>
      <c r="J14" s="1720">
        <v>46954352</v>
      </c>
      <c r="K14" s="1722">
        <v>33999374</v>
      </c>
      <c r="L14" s="1720"/>
      <c r="M14" s="760"/>
      <c r="N14" s="767">
        <v>33537577</v>
      </c>
      <c r="O14" s="760">
        <v>26054286</v>
      </c>
      <c r="P14" s="767">
        <v>15658502</v>
      </c>
      <c r="Q14" s="760">
        <v>10867505</v>
      </c>
      <c r="R14" s="767">
        <f>69705542+27887+25978291+914815+8540945+9498003</f>
        <v>114665483</v>
      </c>
      <c r="S14" s="760">
        <f>58377278+20766127+513665+8558906+8657916</f>
        <v>96873892</v>
      </c>
      <c r="T14" s="767">
        <v>30689767</v>
      </c>
      <c r="U14" s="760">
        <v>24994231</v>
      </c>
      <c r="V14" s="767">
        <v>567992406</v>
      </c>
      <c r="W14" s="760">
        <v>444978830</v>
      </c>
      <c r="X14" s="767"/>
      <c r="Y14" s="1722"/>
      <c r="Z14" s="1720">
        <v>57176933</v>
      </c>
      <c r="AA14" s="1722">
        <v>46472667</v>
      </c>
      <c r="AB14" s="1720">
        <v>96847398</v>
      </c>
      <c r="AC14" s="760">
        <v>84774768</v>
      </c>
      <c r="AD14" s="767">
        <v>139167333</v>
      </c>
      <c r="AE14" s="1722">
        <v>99198724</v>
      </c>
      <c r="AF14" s="1720">
        <v>394748126</v>
      </c>
      <c r="AG14" s="1722">
        <v>322655183</v>
      </c>
      <c r="AH14" s="1720">
        <v>131158170</v>
      </c>
      <c r="AI14" s="760">
        <v>103446632</v>
      </c>
      <c r="AJ14" s="767">
        <v>130453759</v>
      </c>
      <c r="AK14" s="1722">
        <v>108225658</v>
      </c>
      <c r="AL14" s="1720">
        <v>672219280</v>
      </c>
      <c r="AM14" s="1722">
        <v>574136758</v>
      </c>
      <c r="AN14" s="1720">
        <v>672219280</v>
      </c>
      <c r="AO14" s="1722">
        <v>574136758</v>
      </c>
      <c r="AP14" s="1720">
        <v>33436454</v>
      </c>
      <c r="AQ14" s="1722">
        <v>25859341</v>
      </c>
      <c r="AR14" s="1720">
        <v>53388319</v>
      </c>
      <c r="AS14" s="1722">
        <v>4136368</v>
      </c>
      <c r="AT14" s="1720">
        <v>165588503</v>
      </c>
      <c r="AU14" s="1722">
        <v>129857308</v>
      </c>
      <c r="AV14" s="1720">
        <f t="shared" si="0"/>
        <v>3511949850</v>
      </c>
      <c r="AW14" s="1722">
        <f t="shared" si="1"/>
        <v>2837350718</v>
      </c>
      <c r="AX14" s="1720"/>
      <c r="AY14" s="1722"/>
      <c r="AZ14" s="1720">
        <f t="shared" si="2"/>
        <v>3511949850</v>
      </c>
      <c r="BA14" s="760">
        <f t="shared" si="3"/>
        <v>2837350718</v>
      </c>
    </row>
    <row r="15" spans="1:53" ht="16.5">
      <c r="A15" s="140" t="s">
        <v>521</v>
      </c>
      <c r="B15" s="1724"/>
      <c r="C15" s="1723"/>
      <c r="D15" s="1720"/>
      <c r="E15" s="1722"/>
      <c r="F15" s="1720">
        <v>109308</v>
      </c>
      <c r="G15" s="1722">
        <v>68334</v>
      </c>
      <c r="H15" s="1720"/>
      <c r="I15" s="1722"/>
      <c r="J15" s="1720"/>
      <c r="K15" s="1722"/>
      <c r="L15" s="1720">
        <v>213236</v>
      </c>
      <c r="M15" s="760">
        <v>126551</v>
      </c>
      <c r="N15" s="767"/>
      <c r="O15" s="760"/>
      <c r="P15" s="767"/>
      <c r="Q15" s="760"/>
      <c r="R15" s="767"/>
      <c r="S15" s="760"/>
      <c r="T15" s="767">
        <v>149903</v>
      </c>
      <c r="U15" s="760">
        <v>177</v>
      </c>
      <c r="V15" s="767"/>
      <c r="W15" s="760"/>
      <c r="X15" s="767"/>
      <c r="Y15" s="1722"/>
      <c r="Z15" s="1720"/>
      <c r="AA15" s="1722"/>
      <c r="AB15" s="1720"/>
      <c r="AC15" s="760"/>
      <c r="AD15" s="767"/>
      <c r="AE15" s="1722"/>
      <c r="AF15" s="1720">
        <v>822493</v>
      </c>
      <c r="AG15" s="1722">
        <v>1009814</v>
      </c>
      <c r="AH15" s="1720"/>
      <c r="AI15" s="760"/>
      <c r="AJ15" s="767"/>
      <c r="AK15" s="1722"/>
      <c r="AL15" s="1720"/>
      <c r="AM15" s="1722"/>
      <c r="AN15" s="1720"/>
      <c r="AO15" s="1722"/>
      <c r="AP15" s="1720"/>
      <c r="AQ15" s="1722"/>
      <c r="AR15" s="1720"/>
      <c r="AS15" s="1722"/>
      <c r="AT15" s="1720"/>
      <c r="AU15" s="1722"/>
      <c r="AV15" s="1720">
        <f t="shared" si="0"/>
        <v>1294940</v>
      </c>
      <c r="AW15" s="1722">
        <f t="shared" si="1"/>
        <v>1204876</v>
      </c>
      <c r="AX15" s="1720"/>
      <c r="AY15" s="1722"/>
      <c r="AZ15" s="1720">
        <f t="shared" si="2"/>
        <v>1294940</v>
      </c>
      <c r="BA15" s="760">
        <f t="shared" si="3"/>
        <v>1204876</v>
      </c>
    </row>
    <row r="16" spans="1:53" ht="16.5">
      <c r="A16" s="179" t="s">
        <v>475</v>
      </c>
      <c r="B16" s="1724"/>
      <c r="C16" s="1723"/>
      <c r="D16" s="1720"/>
      <c r="E16" s="1722"/>
      <c r="F16" s="1720"/>
      <c r="G16" s="1722"/>
      <c r="H16" s="1720"/>
      <c r="I16" s="1722"/>
      <c r="J16" s="1720"/>
      <c r="K16" s="1722"/>
      <c r="L16" s="1720"/>
      <c r="M16" s="760"/>
      <c r="N16" s="767"/>
      <c r="O16" s="760"/>
      <c r="P16" s="767"/>
      <c r="Q16" s="760"/>
      <c r="R16" s="767"/>
      <c r="S16" s="760"/>
      <c r="T16" s="767"/>
      <c r="U16" s="760"/>
      <c r="V16" s="767"/>
      <c r="W16" s="760"/>
      <c r="X16" s="767"/>
      <c r="Y16" s="1722"/>
      <c r="Z16" s="1720"/>
      <c r="AA16" s="1722"/>
      <c r="AB16" s="1720"/>
      <c r="AC16" s="760"/>
      <c r="AD16" s="767"/>
      <c r="AE16" s="1722"/>
      <c r="AF16" s="1720"/>
      <c r="AG16" s="1722"/>
      <c r="AH16" s="1720"/>
      <c r="AI16" s="760"/>
      <c r="AJ16" s="767"/>
      <c r="AK16" s="1722"/>
      <c r="AL16" s="1720"/>
      <c r="AM16" s="1722"/>
      <c r="AN16" s="1720"/>
      <c r="AO16" s="1722"/>
      <c r="AP16" s="1720"/>
      <c r="AQ16" s="1722"/>
      <c r="AR16" s="1720"/>
      <c r="AS16" s="1722"/>
      <c r="AT16" s="1720"/>
      <c r="AU16" s="1722"/>
      <c r="AV16" s="1720">
        <f t="shared" si="0"/>
        <v>0</v>
      </c>
      <c r="AW16" s="1722">
        <f t="shared" si="1"/>
        <v>0</v>
      </c>
      <c r="AX16" s="1720">
        <v>28736247474</v>
      </c>
      <c r="AY16" s="1722">
        <v>25922273730</v>
      </c>
      <c r="AZ16" s="1720">
        <f t="shared" si="2"/>
        <v>28736247474</v>
      </c>
      <c r="BA16" s="760">
        <f t="shared" si="3"/>
        <v>25922273730</v>
      </c>
    </row>
    <row r="17" spans="1:53" ht="16.5">
      <c r="A17" s="140" t="s">
        <v>378</v>
      </c>
      <c r="B17" s="1724"/>
      <c r="C17" s="1723"/>
      <c r="D17" s="1720"/>
      <c r="E17" s="1722"/>
      <c r="F17" s="1720">
        <f>304333+15716+3</f>
        <v>320052</v>
      </c>
      <c r="G17" s="1722">
        <f>334077+12664+4</f>
        <v>346745</v>
      </c>
      <c r="H17" s="1720"/>
      <c r="I17" s="1722"/>
      <c r="J17" s="1720"/>
      <c r="K17" s="1722"/>
      <c r="L17" s="1720">
        <f>853965+11937</f>
        <v>865902</v>
      </c>
      <c r="M17" s="760">
        <f>794949+20116</f>
        <v>815065</v>
      </c>
      <c r="N17" s="767"/>
      <c r="O17" s="760"/>
      <c r="P17" s="767"/>
      <c r="Q17" s="760"/>
      <c r="R17" s="767"/>
      <c r="S17" s="760"/>
      <c r="T17" s="767"/>
      <c r="U17" s="760"/>
      <c r="V17" s="767"/>
      <c r="W17" s="760"/>
      <c r="X17" s="767">
        <v>1527289162</v>
      </c>
      <c r="Y17" s="1722">
        <v>1320746508</v>
      </c>
      <c r="Z17" s="1720"/>
      <c r="AA17" s="1722"/>
      <c r="AB17" s="1720"/>
      <c r="AC17" s="760"/>
      <c r="AD17" s="767"/>
      <c r="AE17" s="1722"/>
      <c r="AF17" s="1720"/>
      <c r="AG17" s="1722"/>
      <c r="AH17" s="1720"/>
      <c r="AI17" s="760"/>
      <c r="AJ17" s="767"/>
      <c r="AK17" s="1722"/>
      <c r="AL17" s="1720"/>
      <c r="AM17" s="1722"/>
      <c r="AN17" s="1720"/>
      <c r="AO17" s="1722"/>
      <c r="AP17" s="1720"/>
      <c r="AQ17" s="1722"/>
      <c r="AR17" s="1720"/>
      <c r="AS17" s="1722"/>
      <c r="AT17" s="1720"/>
      <c r="AU17" s="1722"/>
      <c r="AV17" s="1720">
        <f t="shared" si="0"/>
        <v>1528475116</v>
      </c>
      <c r="AW17" s="1722">
        <f t="shared" si="1"/>
        <v>1321908318</v>
      </c>
      <c r="AX17" s="1720"/>
      <c r="AY17" s="1722"/>
      <c r="AZ17" s="1720">
        <f t="shared" si="2"/>
        <v>1528475116</v>
      </c>
      <c r="BA17" s="760">
        <f t="shared" si="3"/>
        <v>1321908318</v>
      </c>
    </row>
    <row r="18" spans="1:53" ht="16.5">
      <c r="A18" s="140" t="s">
        <v>484</v>
      </c>
      <c r="B18" s="1724"/>
      <c r="C18" s="1723"/>
      <c r="D18" s="1720"/>
      <c r="E18" s="1722"/>
      <c r="F18" s="1720">
        <f>153605+12937+46951615+1591772+486904+556822+418828+162562+101576</f>
        <v>50436621</v>
      </c>
      <c r="G18" s="1722">
        <f>97216+14027+39884350+1559189+766209+552307+348479+225582+83257</f>
        <v>43530616</v>
      </c>
      <c r="H18" s="1720"/>
      <c r="I18" s="1722"/>
      <c r="J18" s="1720"/>
      <c r="K18" s="1722"/>
      <c r="L18" s="1720">
        <f>5116825+25476077+881345+2235942+13780758+1267740+10996</f>
        <v>48769683</v>
      </c>
      <c r="M18" s="760">
        <f>4119288+20833416+878718+1782648+8396674+658791</f>
        <v>36669535</v>
      </c>
      <c r="N18" s="767"/>
      <c r="O18" s="760"/>
      <c r="P18" s="767"/>
      <c r="Q18" s="760"/>
      <c r="R18" s="767"/>
      <c r="S18" s="760"/>
      <c r="T18" s="767"/>
      <c r="U18" s="760"/>
      <c r="V18" s="767"/>
      <c r="W18" s="760"/>
      <c r="X18" s="767">
        <v>401708443</v>
      </c>
      <c r="Y18" s="1722">
        <v>323413718</v>
      </c>
      <c r="Z18" s="1720"/>
      <c r="AA18" s="1722"/>
      <c r="AB18" s="1720"/>
      <c r="AC18" s="760"/>
      <c r="AD18" s="767"/>
      <c r="AE18" s="1722"/>
      <c r="AF18" s="1720"/>
      <c r="AG18" s="1722"/>
      <c r="AH18" s="1720"/>
      <c r="AI18" s="760"/>
      <c r="AJ18" s="767"/>
      <c r="AK18" s="1722"/>
      <c r="AL18" s="1720"/>
      <c r="AM18" s="1722"/>
      <c r="AN18" s="1720"/>
      <c r="AO18" s="1722"/>
      <c r="AP18" s="1720"/>
      <c r="AQ18" s="1722"/>
      <c r="AR18" s="1720"/>
      <c r="AS18" s="1722"/>
      <c r="AT18" s="1720"/>
      <c r="AU18" s="1722"/>
      <c r="AV18" s="1720">
        <f t="shared" si="0"/>
        <v>500914747</v>
      </c>
      <c r="AW18" s="1722">
        <f t="shared" si="1"/>
        <v>403613869</v>
      </c>
      <c r="AX18" s="1720"/>
      <c r="AY18" s="1722"/>
      <c r="AZ18" s="1720">
        <f t="shared" si="2"/>
        <v>500914747</v>
      </c>
      <c r="BA18" s="760">
        <f t="shared" si="3"/>
        <v>403613869</v>
      </c>
    </row>
    <row r="19" spans="1:53" ht="16.5">
      <c r="A19" s="179" t="s">
        <v>476</v>
      </c>
      <c r="B19" s="1724"/>
      <c r="C19" s="1723"/>
      <c r="D19" s="1720"/>
      <c r="E19" s="1722"/>
      <c r="F19" s="1720"/>
      <c r="G19" s="1722"/>
      <c r="H19" s="1720"/>
      <c r="I19" s="1722"/>
      <c r="J19" s="1720"/>
      <c r="K19" s="1722"/>
      <c r="L19" s="1720"/>
      <c r="M19" s="760"/>
      <c r="N19" s="767"/>
      <c r="O19" s="760"/>
      <c r="P19" s="767"/>
      <c r="Q19" s="760"/>
      <c r="R19" s="767"/>
      <c r="S19" s="760"/>
      <c r="T19" s="767"/>
      <c r="U19" s="760"/>
      <c r="V19" s="767"/>
      <c r="W19" s="760"/>
      <c r="X19" s="767"/>
      <c r="Y19" s="1722"/>
      <c r="Z19" s="1720"/>
      <c r="AA19" s="1722"/>
      <c r="AB19" s="1720"/>
      <c r="AC19" s="760"/>
      <c r="AD19" s="767"/>
      <c r="AE19" s="1722"/>
      <c r="AF19" s="1720"/>
      <c r="AG19" s="1722"/>
      <c r="AH19" s="1720"/>
      <c r="AI19" s="760"/>
      <c r="AJ19" s="767"/>
      <c r="AK19" s="1722"/>
      <c r="AL19" s="1720"/>
      <c r="AM19" s="1722"/>
      <c r="AN19" s="1720"/>
      <c r="AO19" s="1722"/>
      <c r="AP19" s="1720"/>
      <c r="AQ19" s="1722"/>
      <c r="AR19" s="1720"/>
      <c r="AS19" s="1722"/>
      <c r="AT19" s="1720"/>
      <c r="AU19" s="1722"/>
      <c r="AV19" s="1720">
        <f t="shared" si="0"/>
        <v>0</v>
      </c>
      <c r="AW19" s="1722">
        <f t="shared" si="1"/>
        <v>0</v>
      </c>
      <c r="AX19" s="1720">
        <v>97561599</v>
      </c>
      <c r="AY19" s="1722">
        <v>97528225</v>
      </c>
      <c r="AZ19" s="1720">
        <f t="shared" si="2"/>
        <v>97561599</v>
      </c>
      <c r="BA19" s="760">
        <f t="shared" si="3"/>
        <v>97528225</v>
      </c>
    </row>
    <row r="20" spans="1:53" ht="16.5">
      <c r="A20" s="140" t="s">
        <v>477</v>
      </c>
      <c r="B20" s="1724">
        <v>225952846</v>
      </c>
      <c r="C20" s="1723">
        <v>223731418</v>
      </c>
      <c r="D20" s="1720">
        <v>8447521</v>
      </c>
      <c r="E20" s="1722">
        <v>7846519</v>
      </c>
      <c r="F20" s="1720">
        <f>462943+33512+28061580+3543043+3612581</f>
        <v>35713659</v>
      </c>
      <c r="G20" s="1722">
        <f>531654+48321+29877019+4110710+3900911</f>
        <v>38468615</v>
      </c>
      <c r="H20" s="1720"/>
      <c r="I20" s="1722"/>
      <c r="J20" s="1720"/>
      <c r="K20" s="1722"/>
      <c r="L20" s="1720"/>
      <c r="M20" s="760"/>
      <c r="N20" s="767"/>
      <c r="O20" s="760"/>
      <c r="P20" s="767"/>
      <c r="Q20" s="760"/>
      <c r="R20" s="767"/>
      <c r="S20" s="760"/>
      <c r="T20" s="767"/>
      <c r="U20" s="760"/>
      <c r="V20" s="767"/>
      <c r="W20" s="760"/>
      <c r="X20" s="767"/>
      <c r="Y20" s="1722"/>
      <c r="Z20" s="1720"/>
      <c r="AA20" s="1722"/>
      <c r="AB20" s="1720"/>
      <c r="AC20" s="760"/>
      <c r="AD20" s="767"/>
      <c r="AE20" s="1722"/>
      <c r="AF20" s="1720"/>
      <c r="AG20" s="1722"/>
      <c r="AH20" s="1720"/>
      <c r="AI20" s="760"/>
      <c r="AJ20" s="767"/>
      <c r="AK20" s="1722"/>
      <c r="AL20" s="1720"/>
      <c r="AM20" s="1722"/>
      <c r="AN20" s="1720"/>
      <c r="AO20" s="1722"/>
      <c r="AP20" s="1720"/>
      <c r="AQ20" s="1722"/>
      <c r="AR20" s="1720"/>
      <c r="AS20" s="1722"/>
      <c r="AT20" s="1720"/>
      <c r="AU20" s="1722"/>
      <c r="AV20" s="1720">
        <f t="shared" si="0"/>
        <v>270114026</v>
      </c>
      <c r="AW20" s="1722">
        <f t="shared" si="1"/>
        <v>270046552</v>
      </c>
      <c r="AX20" s="1720"/>
      <c r="AY20" s="1722"/>
      <c r="AZ20" s="1720">
        <f t="shared" si="2"/>
        <v>270114026</v>
      </c>
      <c r="BA20" s="760">
        <f t="shared" si="3"/>
        <v>270046552</v>
      </c>
    </row>
    <row r="21" spans="1:53" ht="16.5">
      <c r="A21" s="140" t="s">
        <v>478</v>
      </c>
      <c r="B21" s="1724"/>
      <c r="C21" s="1723"/>
      <c r="D21" s="1720">
        <v>-89221</v>
      </c>
      <c r="E21" s="1722">
        <v>25478</v>
      </c>
      <c r="F21" s="1720"/>
      <c r="G21" s="1722"/>
      <c r="H21" s="1720"/>
      <c r="I21" s="1722"/>
      <c r="J21" s="1720"/>
      <c r="K21" s="1722"/>
      <c r="L21" s="1720"/>
      <c r="M21" s="760"/>
      <c r="N21" s="767"/>
      <c r="O21" s="760"/>
      <c r="P21" s="767"/>
      <c r="Q21" s="760"/>
      <c r="R21" s="767"/>
      <c r="S21" s="760"/>
      <c r="T21" s="767"/>
      <c r="U21" s="760"/>
      <c r="V21" s="767"/>
      <c r="W21" s="760"/>
      <c r="X21" s="767"/>
      <c r="Y21" s="1722"/>
      <c r="Z21" s="1720"/>
      <c r="AA21" s="1722"/>
      <c r="AB21" s="1720"/>
      <c r="AC21" s="760"/>
      <c r="AD21" s="767"/>
      <c r="AE21" s="1722"/>
      <c r="AF21" s="1720"/>
      <c r="AG21" s="1722"/>
      <c r="AH21" s="1720"/>
      <c r="AI21" s="760"/>
      <c r="AJ21" s="767"/>
      <c r="AK21" s="1722"/>
      <c r="AL21" s="1720"/>
      <c r="AM21" s="1722"/>
      <c r="AN21" s="1720"/>
      <c r="AO21" s="1722"/>
      <c r="AP21" s="1720"/>
      <c r="AQ21" s="1722"/>
      <c r="AR21" s="1720"/>
      <c r="AS21" s="1722"/>
      <c r="AT21" s="1720"/>
      <c r="AU21" s="1722"/>
      <c r="AV21" s="1720">
        <f t="shared" si="0"/>
        <v>-89221</v>
      </c>
      <c r="AW21" s="1722">
        <f t="shared" si="1"/>
        <v>25478</v>
      </c>
      <c r="AX21" s="1720"/>
      <c r="AY21" s="1722"/>
      <c r="AZ21" s="1720">
        <f t="shared" si="2"/>
        <v>-89221</v>
      </c>
      <c r="BA21" s="760">
        <f t="shared" si="3"/>
        <v>25478</v>
      </c>
    </row>
    <row r="22" spans="1:53" ht="16.5">
      <c r="A22" s="179" t="s">
        <v>479</v>
      </c>
      <c r="B22" s="1724"/>
      <c r="C22" s="1723"/>
      <c r="D22" s="1720">
        <v>8358300</v>
      </c>
      <c r="E22" s="1722">
        <v>7871997</v>
      </c>
      <c r="F22" s="1720"/>
      <c r="G22" s="1722"/>
      <c r="H22" s="1720">
        <v>195411470</v>
      </c>
      <c r="I22" s="1722">
        <v>180973247</v>
      </c>
      <c r="J22" s="1720">
        <v>10415262</v>
      </c>
      <c r="K22" s="1722">
        <v>10680630</v>
      </c>
      <c r="L22" s="1720">
        <f>77912809+967504</f>
        <v>78880313</v>
      </c>
      <c r="M22" s="760">
        <f>67203329+992267</f>
        <v>68195596</v>
      </c>
      <c r="N22" s="767">
        <v>3698055</v>
      </c>
      <c r="O22" s="760">
        <v>3135400</v>
      </c>
      <c r="P22" s="767">
        <v>5763597</v>
      </c>
      <c r="Q22" s="760">
        <v>3783565</v>
      </c>
      <c r="R22" s="767">
        <v>16851226</v>
      </c>
      <c r="S22" s="760">
        <v>17980542</v>
      </c>
      <c r="T22" s="767">
        <v>5294310</v>
      </c>
      <c r="U22" s="760">
        <v>5326204</v>
      </c>
      <c r="V22" s="767">
        <v>514682237</v>
      </c>
      <c r="W22" s="760">
        <v>469505386</v>
      </c>
      <c r="X22" s="767">
        <v>937883140</v>
      </c>
      <c r="Y22" s="1722">
        <v>841264460</v>
      </c>
      <c r="Z22" s="1720">
        <v>26892135</v>
      </c>
      <c r="AA22" s="1722">
        <v>23542141</v>
      </c>
      <c r="AB22" s="1720">
        <v>40723132</v>
      </c>
      <c r="AC22" s="760">
        <v>35001511</v>
      </c>
      <c r="AD22" s="767">
        <v>139165506</v>
      </c>
      <c r="AE22" s="1722">
        <v>124665739</v>
      </c>
      <c r="AF22" s="1720">
        <v>186219455</v>
      </c>
      <c r="AG22" s="1722">
        <v>164590219</v>
      </c>
      <c r="AH22" s="1720">
        <v>506273</v>
      </c>
      <c r="AI22" s="760">
        <v>398676</v>
      </c>
      <c r="AJ22" s="767">
        <v>54961737</v>
      </c>
      <c r="AK22" s="1722">
        <v>64595606</v>
      </c>
      <c r="AL22" s="1720">
        <v>630728856</v>
      </c>
      <c r="AM22" s="1722">
        <v>507758064</v>
      </c>
      <c r="AN22" s="1720">
        <v>630728856</v>
      </c>
      <c r="AO22" s="1722">
        <v>507758064</v>
      </c>
      <c r="AP22" s="1720">
        <v>4917282</v>
      </c>
      <c r="AQ22" s="1722">
        <v>5844178</v>
      </c>
      <c r="AR22" s="1720">
        <v>19927556</v>
      </c>
      <c r="AS22" s="1722">
        <v>19089436</v>
      </c>
      <c r="AT22" s="1720">
        <v>102149669</v>
      </c>
      <c r="AU22" s="1722">
        <v>91761913</v>
      </c>
      <c r="AV22" s="1720">
        <f t="shared" si="0"/>
        <v>3614158367</v>
      </c>
      <c r="AW22" s="1722">
        <f t="shared" si="1"/>
        <v>3153722574</v>
      </c>
      <c r="AX22" s="1720">
        <v>407495091</v>
      </c>
      <c r="AY22" s="1722">
        <v>427252584</v>
      </c>
      <c r="AZ22" s="1720">
        <f t="shared" si="2"/>
        <v>4021653458</v>
      </c>
      <c r="BA22" s="760">
        <f t="shared" si="3"/>
        <v>3580975158</v>
      </c>
    </row>
    <row r="23" spans="1:53" ht="16.5">
      <c r="A23" s="140" t="s">
        <v>522</v>
      </c>
      <c r="B23" s="1724"/>
      <c r="C23" s="1723"/>
      <c r="D23" s="1720"/>
      <c r="E23" s="1722"/>
      <c r="F23" s="1720"/>
      <c r="G23" s="1722"/>
      <c r="H23" s="1720">
        <v>20698163</v>
      </c>
      <c r="I23" s="1722">
        <v>25701597</v>
      </c>
      <c r="J23" s="1720"/>
      <c r="K23" s="1722"/>
      <c r="L23" s="1720">
        <v>8800303</v>
      </c>
      <c r="M23" s="760">
        <v>11129159</v>
      </c>
      <c r="N23" s="767"/>
      <c r="O23" s="760"/>
      <c r="P23" s="767">
        <v>326716</v>
      </c>
      <c r="Q23" s="760">
        <v>32247</v>
      </c>
      <c r="R23" s="767">
        <v>2256287</v>
      </c>
      <c r="S23" s="760">
        <v>1481473</v>
      </c>
      <c r="T23" s="767"/>
      <c r="U23" s="760"/>
      <c r="V23" s="767">
        <v>85680342</v>
      </c>
      <c r="W23" s="760">
        <v>77290761</v>
      </c>
      <c r="X23" s="767">
        <v>104009517</v>
      </c>
      <c r="Y23" s="1722">
        <v>95531908</v>
      </c>
      <c r="Z23" s="1720"/>
      <c r="AA23" s="1722"/>
      <c r="AB23" s="1720"/>
      <c r="AC23" s="760"/>
      <c r="AD23" s="767"/>
      <c r="AE23" s="1722"/>
      <c r="AF23" s="1720"/>
      <c r="AG23" s="1722"/>
      <c r="AH23" s="1720"/>
      <c r="AI23" s="760"/>
      <c r="AJ23" s="767"/>
      <c r="AK23" s="1722"/>
      <c r="AL23" s="1720">
        <v>51234758</v>
      </c>
      <c r="AM23" s="1722">
        <v>30471538</v>
      </c>
      <c r="AN23" s="1720">
        <v>51234758</v>
      </c>
      <c r="AO23" s="1722">
        <v>30471538</v>
      </c>
      <c r="AP23" s="1720"/>
      <c r="AQ23" s="1722"/>
      <c r="AR23" s="1720">
        <v>3380757</v>
      </c>
      <c r="AS23" s="1722">
        <v>3730642</v>
      </c>
      <c r="AT23" s="1720"/>
      <c r="AU23" s="1722"/>
      <c r="AV23" s="1720">
        <f t="shared" si="0"/>
        <v>327621601</v>
      </c>
      <c r="AW23" s="1722">
        <f t="shared" si="1"/>
        <v>275840863</v>
      </c>
      <c r="AX23" s="1720"/>
      <c r="AY23" s="1722"/>
      <c r="AZ23" s="1720">
        <f t="shared" si="2"/>
        <v>327621601</v>
      </c>
      <c r="BA23" s="760">
        <f t="shared" si="3"/>
        <v>275840863</v>
      </c>
    </row>
    <row r="24" spans="1:53" ht="16.5">
      <c r="A24" s="140" t="s">
        <v>524</v>
      </c>
      <c r="B24" s="1724"/>
      <c r="C24" s="1723"/>
      <c r="D24" s="1720"/>
      <c r="E24" s="1722"/>
      <c r="F24" s="1720"/>
      <c r="G24" s="1722"/>
      <c r="H24" s="1720"/>
      <c r="I24" s="1722"/>
      <c r="J24" s="1720"/>
      <c r="K24" s="1722"/>
      <c r="L24" s="1720"/>
      <c r="M24" s="760"/>
      <c r="N24" s="767"/>
      <c r="O24" s="760"/>
      <c r="P24" s="767"/>
      <c r="Q24" s="760"/>
      <c r="R24" s="767">
        <v>100930</v>
      </c>
      <c r="S24" s="760">
        <v>112052</v>
      </c>
      <c r="T24" s="767"/>
      <c r="U24" s="760"/>
      <c r="V24" s="767"/>
      <c r="W24" s="760"/>
      <c r="X24" s="767"/>
      <c r="Y24" s="1722"/>
      <c r="Z24" s="1720"/>
      <c r="AA24" s="1722"/>
      <c r="AB24" s="1720"/>
      <c r="AC24" s="760"/>
      <c r="AD24" s="767"/>
      <c r="AE24" s="1722"/>
      <c r="AF24" s="1720"/>
      <c r="AG24" s="1722"/>
      <c r="AH24" s="1720">
        <v>56957786</v>
      </c>
      <c r="AI24" s="760">
        <v>56966640</v>
      </c>
      <c r="AJ24" s="767"/>
      <c r="AK24" s="1722"/>
      <c r="AL24" s="1720"/>
      <c r="AM24" s="1722"/>
      <c r="AN24" s="1720"/>
      <c r="AO24" s="1722"/>
      <c r="AP24" s="1720"/>
      <c r="AQ24" s="1722"/>
      <c r="AR24" s="1720"/>
      <c r="AS24" s="1722"/>
      <c r="AT24" s="1720">
        <v>2764</v>
      </c>
      <c r="AU24" s="1722">
        <v>551</v>
      </c>
      <c r="AV24" s="1720">
        <f t="shared" si="0"/>
        <v>57061480</v>
      </c>
      <c r="AW24" s="1722">
        <f t="shared" si="1"/>
        <v>57079243</v>
      </c>
      <c r="AX24" s="1720"/>
      <c r="AY24" s="1722"/>
      <c r="AZ24" s="1720">
        <f t="shared" si="2"/>
        <v>57061480</v>
      </c>
      <c r="BA24" s="760">
        <f t="shared" si="3"/>
        <v>57079243</v>
      </c>
    </row>
    <row r="25" spans="1:53" ht="16.5">
      <c r="A25" s="179" t="s">
        <v>480</v>
      </c>
      <c r="B25" s="1724"/>
      <c r="C25" s="1723"/>
      <c r="D25" s="1720"/>
      <c r="E25" s="1722"/>
      <c r="F25" s="1720"/>
      <c r="G25" s="1722"/>
      <c r="H25" s="1720"/>
      <c r="I25" s="1722"/>
      <c r="J25" s="1720"/>
      <c r="K25" s="1722"/>
      <c r="L25" s="1720"/>
      <c r="M25" s="760"/>
      <c r="N25" s="767"/>
      <c r="O25" s="760"/>
      <c r="P25" s="767"/>
      <c r="Q25" s="760"/>
      <c r="R25" s="767"/>
      <c r="S25" s="760"/>
      <c r="T25" s="767"/>
      <c r="U25" s="760"/>
      <c r="V25" s="767"/>
      <c r="W25" s="760"/>
      <c r="X25" s="767"/>
      <c r="Y25" s="1722"/>
      <c r="Z25" s="1720"/>
      <c r="AA25" s="1722"/>
      <c r="AB25" s="1720"/>
      <c r="AC25" s="760"/>
      <c r="AD25" s="767"/>
      <c r="AE25" s="1722"/>
      <c r="AF25" s="1720"/>
      <c r="AG25" s="1722"/>
      <c r="AH25" s="1720"/>
      <c r="AI25" s="760"/>
      <c r="AJ25" s="767"/>
      <c r="AK25" s="1722"/>
      <c r="AL25" s="1720"/>
      <c r="AM25" s="1722"/>
      <c r="AN25" s="1720"/>
      <c r="AO25" s="1722"/>
      <c r="AP25" s="1720"/>
      <c r="AQ25" s="1722"/>
      <c r="AR25" s="1720"/>
      <c r="AS25" s="1722"/>
      <c r="AT25" s="1720"/>
      <c r="AU25" s="1722"/>
      <c r="AV25" s="1720">
        <f t="shared" si="0"/>
        <v>0</v>
      </c>
      <c r="AW25" s="1722">
        <f t="shared" si="1"/>
        <v>0</v>
      </c>
      <c r="AX25" s="1720"/>
      <c r="AY25" s="1722"/>
      <c r="AZ25" s="1720">
        <f t="shared" si="2"/>
        <v>0</v>
      </c>
      <c r="BA25" s="760">
        <f t="shared" si="3"/>
        <v>0</v>
      </c>
    </row>
    <row r="26" spans="1:53" ht="16.5">
      <c r="A26" s="140" t="s">
        <v>481</v>
      </c>
      <c r="B26" s="1724">
        <v>6249426</v>
      </c>
      <c r="C26" s="1723">
        <v>5958607</v>
      </c>
      <c r="D26" s="1720">
        <v>1029129</v>
      </c>
      <c r="E26" s="1722">
        <v>946252</v>
      </c>
      <c r="F26" s="1720">
        <v>1606475</v>
      </c>
      <c r="G26" s="1722">
        <v>1729408</v>
      </c>
      <c r="H26" s="1720">
        <v>9787168</v>
      </c>
      <c r="I26" s="1722">
        <v>6195615</v>
      </c>
      <c r="J26" s="1720">
        <v>93757</v>
      </c>
      <c r="K26" s="1722">
        <v>155216</v>
      </c>
      <c r="L26" s="1720">
        <v>6549717</v>
      </c>
      <c r="M26" s="760">
        <v>5318032</v>
      </c>
      <c r="N26" s="767"/>
      <c r="O26" s="760"/>
      <c r="P26" s="767">
        <v>867028</v>
      </c>
      <c r="Q26" s="760">
        <v>459724</v>
      </c>
      <c r="R26" s="767">
        <f>955766+606402</f>
        <v>1562168</v>
      </c>
      <c r="S26" s="760">
        <f>692055+734859</f>
        <v>1426914</v>
      </c>
      <c r="T26" s="767">
        <v>915531</v>
      </c>
      <c r="U26" s="760">
        <v>729392</v>
      </c>
      <c r="V26" s="767">
        <v>32862986</v>
      </c>
      <c r="W26" s="760">
        <v>28585115</v>
      </c>
      <c r="X26" s="767">
        <f>83373149+313033</f>
        <v>83686182</v>
      </c>
      <c r="Y26" s="1722">
        <f>60494937+154046</f>
        <v>60648983</v>
      </c>
      <c r="Z26" s="1720">
        <v>1010710</v>
      </c>
      <c r="AA26" s="1722">
        <v>536326</v>
      </c>
      <c r="AB26" s="1720">
        <v>2122983</v>
      </c>
      <c r="AC26" s="760">
        <v>2097095</v>
      </c>
      <c r="AD26" s="767">
        <v>3277576</v>
      </c>
      <c r="AE26" s="1722">
        <v>2049925</v>
      </c>
      <c r="AF26" s="1720">
        <v>13492139</v>
      </c>
      <c r="AG26" s="1722">
        <v>11517584</v>
      </c>
      <c r="AH26" s="1720">
        <v>6766617</v>
      </c>
      <c r="AI26" s="760">
        <v>6060750</v>
      </c>
      <c r="AJ26" s="767">
        <v>4753779</v>
      </c>
      <c r="AK26" s="1722">
        <v>5618469</v>
      </c>
      <c r="AL26" s="1720">
        <v>40601090</v>
      </c>
      <c r="AM26" s="1722">
        <v>26939667</v>
      </c>
      <c r="AN26" s="1720">
        <v>40601090</v>
      </c>
      <c r="AO26" s="1722">
        <v>26939667</v>
      </c>
      <c r="AP26" s="1720">
        <v>156172</v>
      </c>
      <c r="AQ26" s="1722">
        <v>235677</v>
      </c>
      <c r="AR26" s="1720">
        <v>3262239</v>
      </c>
      <c r="AS26" s="1722">
        <v>4034780</v>
      </c>
      <c r="AT26" s="1720">
        <v>4351492</v>
      </c>
      <c r="AU26" s="1722">
        <v>2604456</v>
      </c>
      <c r="AV26" s="1720">
        <f t="shared" si="0"/>
        <v>265605454</v>
      </c>
      <c r="AW26" s="1722">
        <f t="shared" si="1"/>
        <v>200787654</v>
      </c>
      <c r="AX26" s="1720">
        <v>334978</v>
      </c>
      <c r="AY26" s="1722">
        <v>253185</v>
      </c>
      <c r="AZ26" s="1720">
        <f t="shared" si="2"/>
        <v>265940432</v>
      </c>
      <c r="BA26" s="760">
        <f t="shared" si="3"/>
        <v>201040839</v>
      </c>
    </row>
    <row r="27" spans="1:53" ht="16.5">
      <c r="A27" s="140" t="s">
        <v>482</v>
      </c>
      <c r="B27" s="1724"/>
      <c r="C27" s="1723"/>
      <c r="D27" s="1720">
        <v>11842</v>
      </c>
      <c r="E27" s="1722">
        <v>8718</v>
      </c>
      <c r="F27" s="1720"/>
      <c r="G27" s="1722"/>
      <c r="H27" s="1720">
        <v>63072</v>
      </c>
      <c r="I27" s="1722">
        <v>35655</v>
      </c>
      <c r="J27" s="1720"/>
      <c r="K27" s="1722"/>
      <c r="L27" s="1720">
        <v>58032</v>
      </c>
      <c r="M27" s="760">
        <v>119947</v>
      </c>
      <c r="N27" s="767"/>
      <c r="O27" s="760"/>
      <c r="P27" s="767"/>
      <c r="Q27" s="760"/>
      <c r="R27" s="767"/>
      <c r="S27" s="760"/>
      <c r="T27" s="767"/>
      <c r="U27" s="760"/>
      <c r="V27" s="767">
        <v>99872</v>
      </c>
      <c r="W27" s="760">
        <v>95174</v>
      </c>
      <c r="X27" s="767"/>
      <c r="Y27" s="1722"/>
      <c r="Z27" s="1720"/>
      <c r="AA27" s="1722"/>
      <c r="AB27" s="1720"/>
      <c r="AC27" s="760"/>
      <c r="AD27" s="767"/>
      <c r="AE27" s="1722"/>
      <c r="AF27" s="1720"/>
      <c r="AG27" s="1722"/>
      <c r="AH27" s="1720"/>
      <c r="AI27" s="760"/>
      <c r="AJ27" s="767"/>
      <c r="AK27" s="1722"/>
      <c r="AL27" s="1720">
        <v>547827</v>
      </c>
      <c r="AM27" s="1722">
        <v>522644</v>
      </c>
      <c r="AN27" s="1720">
        <v>547827</v>
      </c>
      <c r="AO27" s="1722">
        <v>522644</v>
      </c>
      <c r="AP27" s="1720"/>
      <c r="AQ27" s="1722"/>
      <c r="AR27" s="1720">
        <v>5837</v>
      </c>
      <c r="AS27" s="1722">
        <v>6140</v>
      </c>
      <c r="AT27" s="1720">
        <v>22367</v>
      </c>
      <c r="AU27" s="1722">
        <v>4105</v>
      </c>
      <c r="AV27" s="1720">
        <f t="shared" si="0"/>
        <v>1356676</v>
      </c>
      <c r="AW27" s="1722">
        <f t="shared" si="1"/>
        <v>1315027</v>
      </c>
      <c r="AX27" s="1720">
        <v>186921</v>
      </c>
      <c r="AY27" s="1722">
        <v>180038</v>
      </c>
      <c r="AZ27" s="1720">
        <f t="shared" si="2"/>
        <v>1543597</v>
      </c>
      <c r="BA27" s="760">
        <f t="shared" si="3"/>
        <v>1495065</v>
      </c>
    </row>
    <row r="28" spans="1:53" ht="16.5">
      <c r="A28" s="140" t="s">
        <v>502</v>
      </c>
      <c r="B28" s="1724">
        <v>19282781</v>
      </c>
      <c r="C28" s="1723">
        <v>13962294</v>
      </c>
      <c r="D28" s="1720"/>
      <c r="E28" s="1722"/>
      <c r="F28" s="1720"/>
      <c r="G28" s="1722"/>
      <c r="H28" s="1720">
        <v>469477731</v>
      </c>
      <c r="I28" s="1722">
        <v>425855943</v>
      </c>
      <c r="J28" s="1720"/>
      <c r="K28" s="1722"/>
      <c r="L28" s="1720"/>
      <c r="M28" s="760"/>
      <c r="N28" s="767"/>
      <c r="O28" s="760"/>
      <c r="P28" s="767"/>
      <c r="Q28" s="760"/>
      <c r="R28" s="767"/>
      <c r="S28" s="760"/>
      <c r="T28" s="767"/>
      <c r="U28" s="760"/>
      <c r="V28" s="767"/>
      <c r="W28" s="760"/>
      <c r="X28" s="767">
        <v>1880</v>
      </c>
      <c r="Y28" s="1722">
        <v>-112561</v>
      </c>
      <c r="Z28" s="1720"/>
      <c r="AA28" s="1722"/>
      <c r="AB28" s="1720"/>
      <c r="AC28" s="760"/>
      <c r="AD28" s="767"/>
      <c r="AE28" s="1722"/>
      <c r="AF28" s="1720"/>
      <c r="AG28" s="1722"/>
      <c r="AH28" s="1720"/>
      <c r="AI28" s="760"/>
      <c r="AJ28" s="767"/>
      <c r="AK28" s="1722"/>
      <c r="AL28" s="1720"/>
      <c r="AM28" s="1722"/>
      <c r="AN28" s="1720"/>
      <c r="AO28" s="1722"/>
      <c r="AP28" s="1720"/>
      <c r="AQ28" s="1722"/>
      <c r="AR28" s="1720"/>
      <c r="AS28" s="1722"/>
      <c r="AT28" s="1720"/>
      <c r="AU28" s="1722"/>
      <c r="AV28" s="1720">
        <f t="shared" si="0"/>
        <v>488762392</v>
      </c>
      <c r="AW28" s="1722">
        <f t="shared" si="1"/>
        <v>439705676</v>
      </c>
      <c r="AX28" s="1720"/>
      <c r="AY28" s="1722"/>
      <c r="AZ28" s="1720">
        <f t="shared" si="2"/>
        <v>488762392</v>
      </c>
      <c r="BA28" s="760">
        <f t="shared" si="3"/>
        <v>439705676</v>
      </c>
    </row>
    <row r="29" spans="1:53" ht="16.5">
      <c r="A29" s="140" t="s">
        <v>503</v>
      </c>
      <c r="B29" s="1724">
        <f>SUM(B20:B28)</f>
        <v>251485053</v>
      </c>
      <c r="C29" s="1723">
        <f>SUM(C20:C28)</f>
        <v>243652319</v>
      </c>
      <c r="D29" s="1720"/>
      <c r="E29" s="1722"/>
      <c r="F29" s="1720"/>
      <c r="G29" s="1722"/>
      <c r="H29" s="1720"/>
      <c r="I29" s="1722"/>
      <c r="J29" s="1720"/>
      <c r="K29" s="1722"/>
      <c r="L29" s="1720"/>
      <c r="M29" s="760"/>
      <c r="N29" s="767"/>
      <c r="O29" s="760"/>
      <c r="P29" s="767"/>
      <c r="Q29" s="760"/>
      <c r="R29" s="767"/>
      <c r="S29" s="760"/>
      <c r="T29" s="767"/>
      <c r="U29" s="760"/>
      <c r="V29" s="767"/>
      <c r="W29" s="760"/>
      <c r="X29" s="767"/>
      <c r="Y29" s="1722"/>
      <c r="Z29" s="1720"/>
      <c r="AA29" s="1722"/>
      <c r="AB29" s="1720"/>
      <c r="AC29" s="760"/>
      <c r="AD29" s="767"/>
      <c r="AE29" s="1722"/>
      <c r="AF29" s="1720"/>
      <c r="AG29" s="1722"/>
      <c r="AH29" s="1720"/>
      <c r="AI29" s="760"/>
      <c r="AJ29" s="767"/>
      <c r="AK29" s="1722"/>
      <c r="AL29" s="1720"/>
      <c r="AM29" s="1722"/>
      <c r="AN29" s="1720"/>
      <c r="AO29" s="1722"/>
      <c r="AP29" s="1720"/>
      <c r="AQ29" s="1722"/>
      <c r="AR29" s="1720"/>
      <c r="AS29" s="1722"/>
      <c r="AT29" s="1720"/>
      <c r="AU29" s="1722"/>
      <c r="AV29" s="1720">
        <f t="shared" si="0"/>
        <v>251485053</v>
      </c>
      <c r="AW29" s="1722">
        <f t="shared" si="1"/>
        <v>243652319</v>
      </c>
      <c r="AX29" s="1720"/>
      <c r="AY29" s="1722"/>
      <c r="AZ29" s="1720">
        <f t="shared" si="2"/>
        <v>251485053</v>
      </c>
      <c r="BA29" s="760">
        <f t="shared" si="3"/>
        <v>243652319</v>
      </c>
    </row>
    <row r="30" spans="1:53" ht="16.5">
      <c r="A30" s="179" t="s">
        <v>483</v>
      </c>
      <c r="B30" s="1724"/>
      <c r="C30" s="1723"/>
      <c r="D30" s="1720"/>
      <c r="E30" s="1722"/>
      <c r="F30" s="1720"/>
      <c r="G30" s="1722"/>
      <c r="H30" s="1720"/>
      <c r="I30" s="1722"/>
      <c r="J30" s="1720"/>
      <c r="K30" s="1722"/>
      <c r="L30" s="1720"/>
      <c r="M30" s="760"/>
      <c r="N30" s="767"/>
      <c r="O30" s="760"/>
      <c r="P30" s="767"/>
      <c r="Q30" s="760"/>
      <c r="R30" s="767"/>
      <c r="S30" s="760"/>
      <c r="T30" s="767"/>
      <c r="U30" s="760"/>
      <c r="V30" s="767"/>
      <c r="W30" s="760"/>
      <c r="X30" s="767"/>
      <c r="Y30" s="1722"/>
      <c r="Z30" s="1720"/>
      <c r="AA30" s="1722"/>
      <c r="AB30" s="1720"/>
      <c r="AC30" s="760"/>
      <c r="AD30" s="767"/>
      <c r="AE30" s="1722"/>
      <c r="AF30" s="1720"/>
      <c r="AG30" s="1722"/>
      <c r="AH30" s="1720"/>
      <c r="AI30" s="760"/>
      <c r="AJ30" s="767"/>
      <c r="AK30" s="1722"/>
      <c r="AL30" s="1720"/>
      <c r="AM30" s="1722"/>
      <c r="AN30" s="1720"/>
      <c r="AO30" s="1722"/>
      <c r="AP30" s="1720"/>
      <c r="AQ30" s="1722"/>
      <c r="AR30" s="1720"/>
      <c r="AS30" s="1722"/>
      <c r="AT30" s="1720"/>
      <c r="AU30" s="1722"/>
      <c r="AV30" s="1720">
        <f t="shared" si="0"/>
        <v>0</v>
      </c>
      <c r="AW30" s="1722">
        <f t="shared" si="1"/>
        <v>0</v>
      </c>
      <c r="AX30" s="1720"/>
      <c r="AY30" s="1722"/>
      <c r="AZ30" s="1720">
        <f t="shared" si="2"/>
        <v>0</v>
      </c>
      <c r="BA30" s="760">
        <f t="shared" si="3"/>
        <v>0</v>
      </c>
    </row>
    <row r="31" spans="1:53" ht="16.5">
      <c r="A31" s="140" t="s">
        <v>378</v>
      </c>
      <c r="B31" s="1724">
        <v>91476</v>
      </c>
      <c r="C31" s="1723">
        <v>69178</v>
      </c>
      <c r="D31" s="1720"/>
      <c r="E31" s="1722"/>
      <c r="F31" s="1720"/>
      <c r="G31" s="1722"/>
      <c r="H31" s="1720"/>
      <c r="I31" s="1722"/>
      <c r="J31" s="1720"/>
      <c r="K31" s="1722"/>
      <c r="L31" s="1720"/>
      <c r="M31" s="760"/>
      <c r="N31" s="767"/>
      <c r="O31" s="760"/>
      <c r="P31" s="767"/>
      <c r="Q31" s="760"/>
      <c r="R31" s="767"/>
      <c r="S31" s="760"/>
      <c r="T31" s="767"/>
      <c r="U31" s="760"/>
      <c r="V31" s="767"/>
      <c r="W31" s="760"/>
      <c r="X31" s="767">
        <v>7008</v>
      </c>
      <c r="Y31" s="1722">
        <v>7364</v>
      </c>
      <c r="Z31" s="1720"/>
      <c r="AA31" s="1722"/>
      <c r="AB31" s="1720"/>
      <c r="AC31" s="760"/>
      <c r="AD31" s="767"/>
      <c r="AE31" s="1722"/>
      <c r="AF31" s="1720"/>
      <c r="AG31" s="1722">
        <v>93124</v>
      </c>
      <c r="AH31" s="1720"/>
      <c r="AI31" s="760"/>
      <c r="AJ31" s="767"/>
      <c r="AK31" s="1722"/>
      <c r="AL31" s="1720"/>
      <c r="AM31" s="1722"/>
      <c r="AN31" s="1720">
        <v>3441617</v>
      </c>
      <c r="AO31" s="1722">
        <v>2674324</v>
      </c>
      <c r="AP31" s="1720"/>
      <c r="AQ31" s="1722"/>
      <c r="AR31" s="1720"/>
      <c r="AS31" s="1722"/>
      <c r="AT31" s="1720"/>
      <c r="AU31" s="1722"/>
      <c r="AV31" s="1720">
        <f t="shared" si="0"/>
        <v>3540101</v>
      </c>
      <c r="AW31" s="1722">
        <f t="shared" si="1"/>
        <v>2843990</v>
      </c>
      <c r="AX31" s="1720"/>
      <c r="AY31" s="1722"/>
      <c r="AZ31" s="1720">
        <f t="shared" si="2"/>
        <v>3540101</v>
      </c>
      <c r="BA31" s="760">
        <f t="shared" si="3"/>
        <v>2843990</v>
      </c>
    </row>
    <row r="32" spans="1:53" ht="16.5">
      <c r="A32" s="140" t="s">
        <v>484</v>
      </c>
      <c r="B32" s="1724"/>
      <c r="C32" s="1723"/>
      <c r="D32" s="1720">
        <v>1336491</v>
      </c>
      <c r="E32" s="1722">
        <v>756539</v>
      </c>
      <c r="F32" s="1720"/>
      <c r="G32" s="1722"/>
      <c r="H32" s="1720"/>
      <c r="I32" s="1722"/>
      <c r="J32" s="1720"/>
      <c r="K32" s="1722"/>
      <c r="L32" s="1720"/>
      <c r="M32" s="760"/>
      <c r="N32" s="767"/>
      <c r="O32" s="760"/>
      <c r="P32" s="767"/>
      <c r="Q32" s="760"/>
      <c r="R32" s="767"/>
      <c r="S32" s="760"/>
      <c r="T32" s="767"/>
      <c r="U32" s="760"/>
      <c r="V32" s="767"/>
      <c r="W32" s="760"/>
      <c r="X32" s="767">
        <v>10869081</v>
      </c>
      <c r="Y32" s="1722">
        <v>9318814</v>
      </c>
      <c r="Z32" s="1720"/>
      <c r="AA32" s="1722"/>
      <c r="AB32" s="1720"/>
      <c r="AC32" s="760"/>
      <c r="AD32" s="767"/>
      <c r="AE32" s="1722"/>
      <c r="AF32" s="1720">
        <v>22497702</v>
      </c>
      <c r="AG32" s="1722">
        <v>18569902</v>
      </c>
      <c r="AH32" s="1720"/>
      <c r="AI32" s="760"/>
      <c r="AJ32" s="767">
        <v>3547312</v>
      </c>
      <c r="AK32" s="1722">
        <v>2375664</v>
      </c>
      <c r="AL32" s="1720"/>
      <c r="AM32" s="1722"/>
      <c r="AN32" s="1720"/>
      <c r="AO32" s="1722"/>
      <c r="AP32" s="1720"/>
      <c r="AQ32" s="1722"/>
      <c r="AR32" s="1720"/>
      <c r="AS32" s="1722"/>
      <c r="AT32" s="1720"/>
      <c r="AU32" s="1722"/>
      <c r="AV32" s="1720">
        <f t="shared" si="0"/>
        <v>38250586</v>
      </c>
      <c r="AW32" s="1722">
        <f t="shared" si="1"/>
        <v>31020919</v>
      </c>
      <c r="AX32" s="1720"/>
      <c r="AY32" s="1722"/>
      <c r="AZ32" s="1720">
        <f t="shared" si="2"/>
        <v>38250586</v>
      </c>
      <c r="BA32" s="760">
        <f t="shared" si="3"/>
        <v>31020919</v>
      </c>
    </row>
    <row r="33" spans="1:53" ht="16.5">
      <c r="A33" s="140" t="s">
        <v>75</v>
      </c>
      <c r="B33" s="1724"/>
      <c r="C33" s="1723"/>
      <c r="D33" s="1720"/>
      <c r="E33" s="1722"/>
      <c r="F33" s="1720">
        <v>740321</v>
      </c>
      <c r="G33" s="1722">
        <v>654861</v>
      </c>
      <c r="H33" s="1720">
        <v>9777204</v>
      </c>
      <c r="I33" s="1722">
        <v>5118757</v>
      </c>
      <c r="J33" s="1720">
        <v>1002548</v>
      </c>
      <c r="K33" s="1722">
        <v>870933</v>
      </c>
      <c r="L33" s="1720">
        <v>1960387</v>
      </c>
      <c r="M33" s="760">
        <v>577844</v>
      </c>
      <c r="N33" s="767"/>
      <c r="O33" s="760"/>
      <c r="P33" s="767">
        <v>39003</v>
      </c>
      <c r="Q33" s="760">
        <v>26409</v>
      </c>
      <c r="R33" s="767">
        <f>60623+1415034</f>
        <v>1475657</v>
      </c>
      <c r="S33" s="760">
        <f>4355+715084</f>
        <v>719439</v>
      </c>
      <c r="T33" s="767">
        <v>1025484</v>
      </c>
      <c r="U33" s="760">
        <v>349268</v>
      </c>
      <c r="V33" s="767"/>
      <c r="W33" s="760"/>
      <c r="X33" s="767"/>
      <c r="Y33" s="1722"/>
      <c r="Z33" s="1720">
        <v>708648</v>
      </c>
      <c r="AA33" s="1722">
        <v>727072</v>
      </c>
      <c r="AB33" s="1720">
        <v>880483</v>
      </c>
      <c r="AC33" s="760">
        <v>752002</v>
      </c>
      <c r="AD33" s="767">
        <f>2761691+1232108</f>
        <v>3993799</v>
      </c>
      <c r="AE33" s="1722">
        <f>2029956+908797</f>
        <v>2938753</v>
      </c>
      <c r="AF33" s="1720"/>
      <c r="AG33" s="1722"/>
      <c r="AH33" s="1720">
        <v>3556050</v>
      </c>
      <c r="AI33" s="760">
        <v>2000142</v>
      </c>
      <c r="AJ33" s="767"/>
      <c r="AK33" s="1722"/>
      <c r="AL33" s="1720">
        <v>3441617</v>
      </c>
      <c r="AM33" s="1722">
        <v>2674324</v>
      </c>
      <c r="AN33" s="1720"/>
      <c r="AO33" s="1722"/>
      <c r="AP33" s="1720">
        <v>169418</v>
      </c>
      <c r="AQ33" s="1722">
        <v>80946</v>
      </c>
      <c r="AR33" s="1720">
        <v>1862011</v>
      </c>
      <c r="AS33" s="1722">
        <v>1603811</v>
      </c>
      <c r="AT33" s="1720">
        <v>82086</v>
      </c>
      <c r="AU33" s="1722">
        <v>39620</v>
      </c>
      <c r="AV33" s="1720">
        <f t="shared" si="0"/>
        <v>30714716</v>
      </c>
      <c r="AW33" s="1722">
        <f t="shared" si="1"/>
        <v>19134181</v>
      </c>
      <c r="AX33" s="1720">
        <v>1729</v>
      </c>
      <c r="AY33" s="1722">
        <v>779</v>
      </c>
      <c r="AZ33" s="1720">
        <f t="shared" si="2"/>
        <v>30716445</v>
      </c>
      <c r="BA33" s="760">
        <f t="shared" si="3"/>
        <v>19134960</v>
      </c>
    </row>
    <row r="34" spans="1:53" s="1730" customFormat="1" ht="18">
      <c r="A34" s="179" t="s">
        <v>485</v>
      </c>
      <c r="B34" s="1731">
        <v>417445163</v>
      </c>
      <c r="C34" s="1732">
        <v>382335171</v>
      </c>
      <c r="D34" s="1735">
        <v>45975461</v>
      </c>
      <c r="E34" s="1736">
        <v>40193395</v>
      </c>
      <c r="F34" s="1735">
        <v>108905417</v>
      </c>
      <c r="G34" s="1736">
        <v>104816652</v>
      </c>
      <c r="H34" s="1735">
        <v>585571708</v>
      </c>
      <c r="I34" s="1736">
        <v>534101044</v>
      </c>
      <c r="J34" s="1735">
        <v>86963630</v>
      </c>
      <c r="K34" s="1736">
        <v>72347078</v>
      </c>
      <c r="L34" s="1735">
        <v>157157844</v>
      </c>
      <c r="M34" s="1737">
        <v>133716496</v>
      </c>
      <c r="N34" s="1738">
        <v>48587391</v>
      </c>
      <c r="O34" s="1737">
        <v>40934473</v>
      </c>
      <c r="P34" s="1738">
        <v>42690270</v>
      </c>
      <c r="Q34" s="1737">
        <v>35093127</v>
      </c>
      <c r="R34" s="1738">
        <v>155668041</v>
      </c>
      <c r="S34" s="1737">
        <v>136361350</v>
      </c>
      <c r="T34" s="1738">
        <v>57076159</v>
      </c>
      <c r="U34" s="1737">
        <v>49201317</v>
      </c>
      <c r="V34" s="1738">
        <v>1283722587</v>
      </c>
      <c r="W34" s="1737">
        <v>1089753062</v>
      </c>
      <c r="X34" s="1738">
        <v>1630422344</v>
      </c>
      <c r="Y34" s="1736">
        <v>1417610955</v>
      </c>
      <c r="Z34" s="1735">
        <v>93887215</v>
      </c>
      <c r="AA34" s="1736">
        <v>79193809</v>
      </c>
      <c r="AB34" s="1735">
        <v>149285638</v>
      </c>
      <c r="AC34" s="1737">
        <v>131050887</v>
      </c>
      <c r="AD34" s="1738">
        <v>315972087</v>
      </c>
      <c r="AE34" s="1736">
        <v>255189055</v>
      </c>
      <c r="AF34" s="1735">
        <v>648257146</v>
      </c>
      <c r="AG34" s="1736">
        <v>546955562</v>
      </c>
      <c r="AH34" s="1735">
        <v>219099136</v>
      </c>
      <c r="AI34" s="1737">
        <v>189274550</v>
      </c>
      <c r="AJ34" s="1738">
        <v>209537942</v>
      </c>
      <c r="AK34" s="1736">
        <v>197393243</v>
      </c>
      <c r="AL34" s="1735">
        <v>1487675676</v>
      </c>
      <c r="AM34" s="1736">
        <v>1219464352</v>
      </c>
      <c r="AN34" s="1735">
        <v>1487675676</v>
      </c>
      <c r="AO34" s="1736">
        <v>1219464352</v>
      </c>
      <c r="AP34" s="1735">
        <v>45046204</v>
      </c>
      <c r="AQ34" s="1736">
        <v>38219432</v>
      </c>
      <c r="AR34" s="1735">
        <v>87719536</v>
      </c>
      <c r="AS34" s="1736">
        <v>74740578</v>
      </c>
      <c r="AT34" s="1735">
        <v>300784217</v>
      </c>
      <c r="AU34" s="1736">
        <v>251938014</v>
      </c>
      <c r="AV34" s="1735">
        <f t="shared" si="0"/>
        <v>9665126488</v>
      </c>
      <c r="AW34" s="1736">
        <f t="shared" si="1"/>
        <v>8239347954</v>
      </c>
      <c r="AX34" s="1735">
        <v>31337772086</v>
      </c>
      <c r="AY34" s="1736">
        <v>28458828905</v>
      </c>
      <c r="AZ34" s="1735">
        <f t="shared" si="2"/>
        <v>41002898574</v>
      </c>
      <c r="BA34" s="1737">
        <f t="shared" si="3"/>
        <v>36698176859</v>
      </c>
    </row>
    <row r="35" spans="1:53" ht="16.5">
      <c r="A35" s="179" t="s">
        <v>486</v>
      </c>
      <c r="B35" s="1724"/>
      <c r="C35" s="1723"/>
      <c r="D35" s="1720"/>
      <c r="E35" s="1722"/>
      <c r="F35" s="1720"/>
      <c r="G35" s="1722"/>
      <c r="H35" s="1720"/>
      <c r="I35" s="1722"/>
      <c r="J35" s="1720"/>
      <c r="K35" s="1722"/>
      <c r="L35" s="1720"/>
      <c r="M35" s="760"/>
      <c r="N35" s="767"/>
      <c r="O35" s="760"/>
      <c r="P35" s="767"/>
      <c r="Q35" s="760"/>
      <c r="R35" s="767"/>
      <c r="S35" s="760"/>
      <c r="T35" s="767"/>
      <c r="U35" s="760"/>
      <c r="V35" s="767"/>
      <c r="W35" s="760"/>
      <c r="X35" s="767"/>
      <c r="Y35" s="1722"/>
      <c r="Z35" s="1720"/>
      <c r="AA35" s="1722"/>
      <c r="AB35" s="1720"/>
      <c r="AC35" s="760"/>
      <c r="AD35" s="767"/>
      <c r="AE35" s="1722"/>
      <c r="AF35" s="1720"/>
      <c r="AG35" s="1722"/>
      <c r="AH35" s="1720"/>
      <c r="AI35" s="760"/>
      <c r="AJ35" s="767"/>
      <c r="AK35" s="1722"/>
      <c r="AL35" s="1720"/>
      <c r="AM35" s="1722"/>
      <c r="AN35" s="1720"/>
      <c r="AO35" s="1722"/>
      <c r="AP35" s="1720"/>
      <c r="AQ35" s="1722"/>
      <c r="AR35" s="1720"/>
      <c r="AS35" s="1722"/>
      <c r="AT35" s="1720"/>
      <c r="AU35" s="1722"/>
      <c r="AV35" s="1720">
        <f t="shared" si="0"/>
        <v>0</v>
      </c>
      <c r="AW35" s="1722">
        <f t="shared" si="1"/>
        <v>0</v>
      </c>
      <c r="AX35" s="1720"/>
      <c r="AY35" s="1722"/>
      <c r="AZ35" s="1720">
        <f t="shared" si="2"/>
        <v>0</v>
      </c>
      <c r="BA35" s="760">
        <f t="shared" si="3"/>
        <v>0</v>
      </c>
    </row>
    <row r="36" spans="1:53" ht="16.5">
      <c r="A36" s="179" t="s">
        <v>487</v>
      </c>
      <c r="B36" s="1724"/>
      <c r="C36" s="1723"/>
      <c r="D36" s="1720"/>
      <c r="E36" s="1722"/>
      <c r="F36" s="1720"/>
      <c r="G36" s="1722"/>
      <c r="H36" s="1720"/>
      <c r="I36" s="1722"/>
      <c r="J36" s="1720"/>
      <c r="K36" s="1722"/>
      <c r="L36" s="1720"/>
      <c r="M36" s="760"/>
      <c r="N36" s="767"/>
      <c r="O36" s="760"/>
      <c r="P36" s="767"/>
      <c r="Q36" s="760"/>
      <c r="R36" s="767"/>
      <c r="S36" s="760"/>
      <c r="T36" s="767"/>
      <c r="U36" s="760"/>
      <c r="V36" s="767"/>
      <c r="W36" s="760"/>
      <c r="X36" s="767"/>
      <c r="Y36" s="1722"/>
      <c r="Z36" s="1720"/>
      <c r="AA36" s="1722"/>
      <c r="AB36" s="1720"/>
      <c r="AC36" s="760"/>
      <c r="AD36" s="767"/>
      <c r="AE36" s="1722"/>
      <c r="AF36" s="1720"/>
      <c r="AG36" s="1722"/>
      <c r="AH36" s="1720"/>
      <c r="AI36" s="760"/>
      <c r="AJ36" s="767"/>
      <c r="AK36" s="1722"/>
      <c r="AL36" s="1720"/>
      <c r="AM36" s="1722"/>
      <c r="AN36" s="1720"/>
      <c r="AO36" s="1722"/>
      <c r="AP36" s="1720"/>
      <c r="AQ36" s="1722"/>
      <c r="AR36" s="1720"/>
      <c r="AS36" s="1722"/>
      <c r="AT36" s="1720"/>
      <c r="AU36" s="1722"/>
      <c r="AV36" s="1720">
        <f t="shared" si="0"/>
        <v>0</v>
      </c>
      <c r="AW36" s="1722">
        <f t="shared" si="1"/>
        <v>0</v>
      </c>
      <c r="AX36" s="1720"/>
      <c r="AY36" s="1722"/>
      <c r="AZ36" s="1720">
        <f t="shared" si="2"/>
        <v>0</v>
      </c>
      <c r="BA36" s="760">
        <f t="shared" si="3"/>
        <v>0</v>
      </c>
    </row>
    <row r="37" spans="1:53" ht="16.5">
      <c r="A37" s="140" t="s">
        <v>508</v>
      </c>
      <c r="B37" s="1724">
        <v>21371527</v>
      </c>
      <c r="C37" s="1723">
        <v>20595598</v>
      </c>
      <c r="D37" s="1720">
        <v>1664955</v>
      </c>
      <c r="E37" s="1722">
        <v>945483</v>
      </c>
      <c r="F37" s="1720">
        <v>6676335</v>
      </c>
      <c r="G37" s="1722">
        <v>6508986</v>
      </c>
      <c r="H37" s="1720">
        <v>95685758</v>
      </c>
      <c r="I37" s="1722">
        <v>88402203</v>
      </c>
      <c r="J37" s="1720">
        <v>3274349</v>
      </c>
      <c r="K37" s="1722">
        <v>2666203</v>
      </c>
      <c r="L37" s="1720">
        <v>9445780</v>
      </c>
      <c r="M37" s="760">
        <v>8319967</v>
      </c>
      <c r="N37" s="767">
        <v>7529351</v>
      </c>
      <c r="O37" s="760">
        <v>9077176</v>
      </c>
      <c r="P37" s="767">
        <v>6274141</v>
      </c>
      <c r="Q37" s="760">
        <v>8871976</v>
      </c>
      <c r="R37" s="767">
        <v>9999340</v>
      </c>
      <c r="S37" s="760">
        <v>9214441</v>
      </c>
      <c r="T37" s="767">
        <v>2582981</v>
      </c>
      <c r="U37" s="760">
        <v>2615660</v>
      </c>
      <c r="V37" s="767">
        <v>51783380</v>
      </c>
      <c r="W37" s="760">
        <v>41295742</v>
      </c>
      <c r="X37" s="767">
        <v>77670468</v>
      </c>
      <c r="Y37" s="1722">
        <v>67988375</v>
      </c>
      <c r="Z37" s="1720">
        <v>6241054</v>
      </c>
      <c r="AA37" s="1722">
        <v>6169878</v>
      </c>
      <c r="AB37" s="1720">
        <v>5900352</v>
      </c>
      <c r="AC37" s="760">
        <v>6423184</v>
      </c>
      <c r="AD37" s="767">
        <v>27603213</v>
      </c>
      <c r="AE37" s="1722">
        <v>22733005</v>
      </c>
      <c r="AF37" s="1720">
        <v>29238676</v>
      </c>
      <c r="AG37" s="1722">
        <v>30890296</v>
      </c>
      <c r="AH37" s="1720">
        <v>12043282</v>
      </c>
      <c r="AI37" s="760">
        <v>10877079</v>
      </c>
      <c r="AJ37" s="767">
        <v>12402532</v>
      </c>
      <c r="AK37" s="1722">
        <v>12392939</v>
      </c>
      <c r="AL37" s="1720">
        <v>68997379</v>
      </c>
      <c r="AM37" s="1722">
        <v>56927903</v>
      </c>
      <c r="AN37" s="1720">
        <v>68997379</v>
      </c>
      <c r="AO37" s="1722">
        <v>56927903</v>
      </c>
      <c r="AP37" s="1720">
        <v>5401683</v>
      </c>
      <c r="AQ37" s="1722">
        <v>5477717</v>
      </c>
      <c r="AR37" s="1720">
        <v>5172041</v>
      </c>
      <c r="AS37" s="1722">
        <v>4312672</v>
      </c>
      <c r="AT37" s="1720">
        <v>19927683</v>
      </c>
      <c r="AU37" s="1722">
        <v>19289467</v>
      </c>
      <c r="AV37" s="1720">
        <f t="shared" si="0"/>
        <v>555883639</v>
      </c>
      <c r="AW37" s="1722">
        <f t="shared" si="1"/>
        <v>498923853</v>
      </c>
      <c r="AX37" s="1720">
        <v>6398777</v>
      </c>
      <c r="AY37" s="1722">
        <v>5839410</v>
      </c>
      <c r="AZ37" s="1720">
        <f t="shared" si="2"/>
        <v>562282416</v>
      </c>
      <c r="BA37" s="760">
        <f t="shared" si="3"/>
        <v>504763263</v>
      </c>
    </row>
    <row r="38" spans="1:53" ht="16.5">
      <c r="A38" s="140" t="s">
        <v>509</v>
      </c>
      <c r="B38" s="1724">
        <v>135253187</v>
      </c>
      <c r="C38" s="1723">
        <v>111572285</v>
      </c>
      <c r="D38" s="1720">
        <v>14535486</v>
      </c>
      <c r="E38" s="1722">
        <v>11749522</v>
      </c>
      <c r="F38" s="1720">
        <v>50663565</v>
      </c>
      <c r="G38" s="1722">
        <v>43935750</v>
      </c>
      <c r="H38" s="1720">
        <v>255045205</v>
      </c>
      <c r="I38" s="1722">
        <v>224598885</v>
      </c>
      <c r="J38" s="1720">
        <v>46926200</v>
      </c>
      <c r="K38" s="1722">
        <v>33482465</v>
      </c>
      <c r="L38" s="1720">
        <v>52199441</v>
      </c>
      <c r="M38" s="760">
        <v>38755724</v>
      </c>
      <c r="N38" s="767">
        <v>33101404</v>
      </c>
      <c r="O38" s="760">
        <v>26148315</v>
      </c>
      <c r="P38" s="767">
        <v>16118993</v>
      </c>
      <c r="Q38" s="760">
        <v>11803465</v>
      </c>
      <c r="R38" s="767">
        <v>110887533</v>
      </c>
      <c r="S38" s="760">
        <v>94253010</v>
      </c>
      <c r="T38" s="767">
        <v>29968541</v>
      </c>
      <c r="U38" s="760">
        <v>24570571</v>
      </c>
      <c r="V38" s="767">
        <v>610706131</v>
      </c>
      <c r="W38" s="760">
        <v>479564401</v>
      </c>
      <c r="X38" s="767">
        <v>421982126</v>
      </c>
      <c r="Y38" s="1722">
        <v>349996524</v>
      </c>
      <c r="Z38" s="1720">
        <v>55434299</v>
      </c>
      <c r="AA38" s="1722">
        <v>45433266</v>
      </c>
      <c r="AB38" s="1720">
        <v>98349399</v>
      </c>
      <c r="AC38" s="760">
        <v>84744648</v>
      </c>
      <c r="AD38" s="767">
        <v>148237602</v>
      </c>
      <c r="AE38" s="1722">
        <v>107618942</v>
      </c>
      <c r="AF38" s="1720">
        <v>409817069</v>
      </c>
      <c r="AG38" s="1722">
        <v>333797988</v>
      </c>
      <c r="AH38" s="1720">
        <v>134376639</v>
      </c>
      <c r="AI38" s="760">
        <v>106221611</v>
      </c>
      <c r="AJ38" s="767">
        <v>132667388</v>
      </c>
      <c r="AK38" s="1722">
        <v>110739010</v>
      </c>
      <c r="AL38" s="1720">
        <v>660910923</v>
      </c>
      <c r="AM38" s="1722">
        <v>563091758</v>
      </c>
      <c r="AN38" s="1720">
        <v>660910923</v>
      </c>
      <c r="AO38" s="1722">
        <v>563091758</v>
      </c>
      <c r="AP38" s="1720">
        <v>32369439</v>
      </c>
      <c r="AQ38" s="1722">
        <v>24394056</v>
      </c>
      <c r="AR38" s="1720">
        <v>54125426</v>
      </c>
      <c r="AS38" s="1722">
        <v>41529348</v>
      </c>
      <c r="AT38" s="1720">
        <v>167077572</v>
      </c>
      <c r="AU38" s="1722">
        <v>136210801</v>
      </c>
      <c r="AV38" s="1720">
        <f t="shared" si="0"/>
        <v>4331664491</v>
      </c>
      <c r="AW38" s="1722">
        <f t="shared" si="1"/>
        <v>3567304103</v>
      </c>
      <c r="AX38" s="1720">
        <v>28751147189</v>
      </c>
      <c r="AY38" s="1722">
        <v>26032350767</v>
      </c>
      <c r="AZ38" s="1720">
        <f t="shared" si="2"/>
        <v>33082811680</v>
      </c>
      <c r="BA38" s="760">
        <f t="shared" si="3"/>
        <v>29599654870</v>
      </c>
    </row>
    <row r="39" spans="1:53" ht="16.5">
      <c r="A39" s="140" t="s">
        <v>510</v>
      </c>
      <c r="B39" s="1724">
        <v>251485053</v>
      </c>
      <c r="C39" s="1723">
        <v>243652319</v>
      </c>
      <c r="D39" s="1720">
        <v>9399271</v>
      </c>
      <c r="E39" s="1722">
        <v>8826966</v>
      </c>
      <c r="F39" s="1720">
        <v>38036162</v>
      </c>
      <c r="G39" s="1722">
        <v>40828235</v>
      </c>
      <c r="H39" s="1720">
        <v>255959392</v>
      </c>
      <c r="I39" s="1722">
        <v>212905802</v>
      </c>
      <c r="J39" s="1720">
        <v>10509019</v>
      </c>
      <c r="K39" s="1722">
        <v>10835846</v>
      </c>
      <c r="L39" s="1720">
        <v>94288365</v>
      </c>
      <c r="M39" s="760">
        <v>84762734</v>
      </c>
      <c r="N39" s="767">
        <v>3698055</v>
      </c>
      <c r="O39" s="760">
        <v>3135400</v>
      </c>
      <c r="P39" s="767">
        <v>6957342</v>
      </c>
      <c r="Q39" s="760">
        <v>4275537</v>
      </c>
      <c r="R39" s="767">
        <v>20063279</v>
      </c>
      <c r="S39" s="760">
        <v>20154070</v>
      </c>
      <c r="T39" s="767">
        <v>6209841</v>
      </c>
      <c r="U39" s="760">
        <v>6055597</v>
      </c>
      <c r="V39" s="767">
        <v>633325437</v>
      </c>
      <c r="W39" s="760">
        <v>575476436</v>
      </c>
      <c r="X39" s="767">
        <v>1125587727</v>
      </c>
      <c r="Y39" s="1722">
        <v>997340154</v>
      </c>
      <c r="Z39" s="1720">
        <v>27902845</v>
      </c>
      <c r="AA39" s="1722">
        <v>24078466</v>
      </c>
      <c r="AB39" s="1720">
        <v>42846116</v>
      </c>
      <c r="AC39" s="760">
        <v>37098607</v>
      </c>
      <c r="AD39" s="767">
        <v>142443082</v>
      </c>
      <c r="AE39" s="1722">
        <v>126715664</v>
      </c>
      <c r="AF39" s="1720">
        <v>199711594</v>
      </c>
      <c r="AG39" s="1722">
        <v>174712989</v>
      </c>
      <c r="AH39" s="1720">
        <v>63724403</v>
      </c>
      <c r="AI39" s="760">
        <v>63027390</v>
      </c>
      <c r="AJ39" s="767">
        <v>59715516</v>
      </c>
      <c r="AK39" s="1722">
        <v>70214075</v>
      </c>
      <c r="AL39" s="1720">
        <v>723112529</v>
      </c>
      <c r="AM39" s="1722">
        <v>565691913</v>
      </c>
      <c r="AN39" s="1720">
        <v>723112529</v>
      </c>
      <c r="AO39" s="1722">
        <v>565691913</v>
      </c>
      <c r="AP39" s="1720">
        <v>5073455</v>
      </c>
      <c r="AQ39" s="1722">
        <v>6079855</v>
      </c>
      <c r="AR39" s="1720">
        <v>26576389</v>
      </c>
      <c r="AS39" s="1722">
        <v>26860998</v>
      </c>
      <c r="AT39" s="1720">
        <v>106523528</v>
      </c>
      <c r="AU39" s="1722">
        <v>94370474</v>
      </c>
      <c r="AV39" s="1720">
        <f t="shared" si="0"/>
        <v>4576260929</v>
      </c>
      <c r="AW39" s="1722">
        <f t="shared" si="1"/>
        <v>3962791440</v>
      </c>
      <c r="AX39" s="1720">
        <v>729007406</v>
      </c>
      <c r="AY39" s="1722">
        <v>818523190</v>
      </c>
      <c r="AZ39" s="1720">
        <f t="shared" si="2"/>
        <v>5305268335</v>
      </c>
      <c r="BA39" s="760">
        <f t="shared" si="3"/>
        <v>4781314630</v>
      </c>
    </row>
    <row r="40" spans="1:53" ht="16.5">
      <c r="A40" s="140" t="s">
        <v>511</v>
      </c>
      <c r="B40" s="1724">
        <v>1308273</v>
      </c>
      <c r="C40" s="1723">
        <v>815911</v>
      </c>
      <c r="D40" s="1720">
        <v>664381</v>
      </c>
      <c r="E40" s="1722">
        <v>552192</v>
      </c>
      <c r="F40" s="1720"/>
      <c r="G40" s="1722"/>
      <c r="H40" s="1720">
        <v>3398189</v>
      </c>
      <c r="I40" s="1722">
        <v>2557812</v>
      </c>
      <c r="J40" s="1720">
        <v>126514</v>
      </c>
      <c r="K40" s="1722">
        <v>60903</v>
      </c>
      <c r="L40" s="1720">
        <v>5841</v>
      </c>
      <c r="M40" s="760">
        <v>1581</v>
      </c>
      <c r="N40" s="767">
        <v>223249</v>
      </c>
      <c r="O40" s="760">
        <v>88462</v>
      </c>
      <c r="P40" s="767">
        <v>62653</v>
      </c>
      <c r="Q40" s="760">
        <v>28685</v>
      </c>
      <c r="R40" s="767">
        <v>3882296</v>
      </c>
      <c r="S40" s="760">
        <v>2985267</v>
      </c>
      <c r="T40" s="767">
        <v>115103</v>
      </c>
      <c r="U40" s="760">
        <v>78670</v>
      </c>
      <c r="V40" s="767">
        <v>1158425</v>
      </c>
      <c r="W40" s="760">
        <v>212804</v>
      </c>
      <c r="X40" s="767">
        <v>3155184</v>
      </c>
      <c r="Y40" s="1722">
        <v>1689673</v>
      </c>
      <c r="Z40" s="1720">
        <v>43764</v>
      </c>
      <c r="AA40" s="1722">
        <v>17563</v>
      </c>
      <c r="AB40" s="1720">
        <v>72619</v>
      </c>
      <c r="AC40" s="760">
        <v>50837</v>
      </c>
      <c r="AD40" s="767">
        <v>912697</v>
      </c>
      <c r="AE40" s="1722">
        <v>1282505</v>
      </c>
      <c r="AF40" s="1720">
        <v>3569616</v>
      </c>
      <c r="AG40" s="1722">
        <v>2472784</v>
      </c>
      <c r="AH40" s="1720">
        <v>485152</v>
      </c>
      <c r="AI40" s="760">
        <v>390175</v>
      </c>
      <c r="AJ40" s="767">
        <v>383648</v>
      </c>
      <c r="AK40" s="1722">
        <v>278989</v>
      </c>
      <c r="AL40" s="1720">
        <v>1751340</v>
      </c>
      <c r="AM40" s="1722">
        <v>1721684</v>
      </c>
      <c r="AN40" s="1720">
        <v>1751340</v>
      </c>
      <c r="AO40" s="1722">
        <v>1721684</v>
      </c>
      <c r="AP40" s="1720">
        <v>273618</v>
      </c>
      <c r="AQ40" s="1722">
        <v>117128</v>
      </c>
      <c r="AR40" s="1720">
        <v>88470</v>
      </c>
      <c r="AS40" s="1722">
        <v>92159</v>
      </c>
      <c r="AT40" s="1720">
        <v>3786029</v>
      </c>
      <c r="AU40" s="1722">
        <v>3349339</v>
      </c>
      <c r="AV40" s="1720">
        <f t="shared" si="0"/>
        <v>27218401</v>
      </c>
      <c r="AW40" s="1722">
        <f t="shared" si="1"/>
        <v>20566807</v>
      </c>
      <c r="AX40" s="1720">
        <v>1058660915</v>
      </c>
      <c r="AY40" s="1722">
        <v>1040339079</v>
      </c>
      <c r="AZ40" s="1720">
        <f t="shared" si="2"/>
        <v>1085879316</v>
      </c>
      <c r="BA40" s="760">
        <f t="shared" si="3"/>
        <v>1060905886</v>
      </c>
    </row>
    <row r="41" spans="1:53" ht="16.5">
      <c r="A41" s="140" t="s">
        <v>512</v>
      </c>
      <c r="B41" s="1724">
        <v>875029</v>
      </c>
      <c r="C41" s="1723">
        <v>745323</v>
      </c>
      <c r="D41" s="1720">
        <v>352991</v>
      </c>
      <c r="E41" s="1722">
        <v>198681</v>
      </c>
      <c r="F41" s="1720">
        <v>109355</v>
      </c>
      <c r="G41" s="1722">
        <v>123113</v>
      </c>
      <c r="H41" s="1720">
        <v>3226515</v>
      </c>
      <c r="I41" s="1722">
        <v>2387653</v>
      </c>
      <c r="J41" s="1720">
        <v>239643</v>
      </c>
      <c r="K41" s="1722">
        <v>248335</v>
      </c>
      <c r="L41" s="1720">
        <v>147433</v>
      </c>
      <c r="M41" s="760">
        <v>88127</v>
      </c>
      <c r="N41" s="767">
        <v>493395</v>
      </c>
      <c r="O41" s="760">
        <v>520527</v>
      </c>
      <c r="P41" s="767">
        <v>974508</v>
      </c>
      <c r="Q41" s="760">
        <v>897500</v>
      </c>
      <c r="R41" s="767">
        <v>366846</v>
      </c>
      <c r="S41" s="760">
        <v>426924</v>
      </c>
      <c r="T41" s="767">
        <v>620116</v>
      </c>
      <c r="U41" s="760">
        <v>471368</v>
      </c>
      <c r="V41" s="767">
        <v>3412135</v>
      </c>
      <c r="W41" s="760">
        <v>3334816</v>
      </c>
      <c r="X41" s="767">
        <v>4683066</v>
      </c>
      <c r="Y41" s="1722">
        <v>4428166</v>
      </c>
      <c r="Z41" s="1720">
        <v>1389344</v>
      </c>
      <c r="AA41" s="1722">
        <v>1432218</v>
      </c>
      <c r="AB41" s="1720">
        <v>244942</v>
      </c>
      <c r="AC41" s="760">
        <v>196362</v>
      </c>
      <c r="AD41" s="767">
        <v>751800</v>
      </c>
      <c r="AE41" s="1722">
        <v>661730</v>
      </c>
      <c r="AF41" s="1720">
        <v>2157107</v>
      </c>
      <c r="AG41" s="1722">
        <v>1662642</v>
      </c>
      <c r="AH41" s="1720">
        <v>1019513</v>
      </c>
      <c r="AI41" s="760">
        <v>783094</v>
      </c>
      <c r="AJ41" s="767">
        <v>429568</v>
      </c>
      <c r="AK41" s="1722">
        <v>272619</v>
      </c>
      <c r="AL41" s="1720">
        <v>6004482</v>
      </c>
      <c r="AM41" s="1722">
        <v>5855262</v>
      </c>
      <c r="AN41" s="1720">
        <v>6004482</v>
      </c>
      <c r="AO41" s="1722">
        <v>5855262</v>
      </c>
      <c r="AP41" s="1720">
        <v>626648</v>
      </c>
      <c r="AQ41" s="1722">
        <v>398326</v>
      </c>
      <c r="AR41" s="1720">
        <v>172696</v>
      </c>
      <c r="AS41" s="1722">
        <v>177406</v>
      </c>
      <c r="AT41" s="1720">
        <v>1945964</v>
      </c>
      <c r="AU41" s="1722">
        <v>1818693</v>
      </c>
      <c r="AV41" s="1720">
        <f t="shared" si="0"/>
        <v>36247578</v>
      </c>
      <c r="AW41" s="1722">
        <f t="shared" si="1"/>
        <v>32984147</v>
      </c>
      <c r="AX41" s="1720">
        <v>28514320</v>
      </c>
      <c r="AY41" s="1722">
        <v>27080071</v>
      </c>
      <c r="AZ41" s="1720">
        <f t="shared" si="2"/>
        <v>64761898</v>
      </c>
      <c r="BA41" s="760">
        <f t="shared" si="3"/>
        <v>60064218</v>
      </c>
    </row>
    <row r="42" spans="1:53" ht="16.5">
      <c r="A42" s="179" t="s">
        <v>488</v>
      </c>
      <c r="B42" s="1724"/>
      <c r="C42" s="1723"/>
      <c r="D42" s="1720"/>
      <c r="E42" s="1722"/>
      <c r="F42" s="1720"/>
      <c r="G42" s="1722"/>
      <c r="H42" s="1720"/>
      <c r="I42" s="1722"/>
      <c r="J42" s="1720"/>
      <c r="K42" s="1722"/>
      <c r="L42" s="1720"/>
      <c r="M42" s="760"/>
      <c r="N42" s="767"/>
      <c r="O42" s="760"/>
      <c r="P42" s="767"/>
      <c r="Q42" s="760"/>
      <c r="R42" s="767"/>
      <c r="S42" s="760"/>
      <c r="T42" s="767"/>
      <c r="U42" s="760"/>
      <c r="V42" s="767"/>
      <c r="W42" s="760"/>
      <c r="X42" s="767"/>
      <c r="Y42" s="1722"/>
      <c r="Z42" s="1720"/>
      <c r="AA42" s="1722"/>
      <c r="AB42" s="1720"/>
      <c r="AC42" s="760"/>
      <c r="AD42" s="767"/>
      <c r="AE42" s="1722"/>
      <c r="AF42" s="1720"/>
      <c r="AG42" s="1722"/>
      <c r="AH42" s="1720"/>
      <c r="AI42" s="760"/>
      <c r="AJ42" s="767"/>
      <c r="AK42" s="1722"/>
      <c r="AL42" s="1720"/>
      <c r="AM42" s="1722"/>
      <c r="AN42" s="1720"/>
      <c r="AO42" s="1722"/>
      <c r="AP42" s="1720"/>
      <c r="AQ42" s="1722"/>
      <c r="AR42" s="1720"/>
      <c r="AS42" s="1722"/>
      <c r="AT42" s="1720"/>
      <c r="AU42" s="1722"/>
      <c r="AV42" s="1720">
        <f t="shared" si="0"/>
        <v>0</v>
      </c>
      <c r="AW42" s="1722">
        <f t="shared" si="1"/>
        <v>0</v>
      </c>
      <c r="AX42" s="1720"/>
      <c r="AY42" s="1722"/>
      <c r="AZ42" s="1720">
        <f t="shared" si="2"/>
        <v>0</v>
      </c>
      <c r="BA42" s="760">
        <f t="shared" si="3"/>
        <v>0</v>
      </c>
    </row>
    <row r="43" spans="1:53" ht="16.5">
      <c r="A43" s="179" t="s">
        <v>523</v>
      </c>
      <c r="B43" s="1724"/>
      <c r="C43" s="1723"/>
      <c r="D43" s="1720"/>
      <c r="E43" s="1722"/>
      <c r="F43" s="1720"/>
      <c r="G43" s="1722"/>
      <c r="H43" s="1720"/>
      <c r="I43" s="1722"/>
      <c r="J43" s="1720"/>
      <c r="K43" s="1722"/>
      <c r="L43" s="1720"/>
      <c r="M43" s="760"/>
      <c r="N43" s="767">
        <v>276107</v>
      </c>
      <c r="O43" s="760">
        <v>333019</v>
      </c>
      <c r="P43" s="767"/>
      <c r="Q43" s="760"/>
      <c r="R43" s="767">
        <v>96072</v>
      </c>
      <c r="S43" s="760">
        <v>66540</v>
      </c>
      <c r="T43" s="767"/>
      <c r="U43" s="760"/>
      <c r="V43" s="767"/>
      <c r="W43" s="760"/>
      <c r="X43" s="767">
        <v>448</v>
      </c>
      <c r="Y43" s="1722">
        <v>455</v>
      </c>
      <c r="Z43" s="1720"/>
      <c r="AA43" s="1722"/>
      <c r="AB43" s="1720"/>
      <c r="AC43" s="760"/>
      <c r="AD43" s="767"/>
      <c r="AE43" s="1722"/>
      <c r="AF43" s="1720"/>
      <c r="AG43" s="1722"/>
      <c r="AH43" s="1720"/>
      <c r="AI43" s="760"/>
      <c r="AJ43" s="767"/>
      <c r="AK43" s="1722"/>
      <c r="AL43" s="1720"/>
      <c r="AM43" s="1722"/>
      <c r="AN43" s="1720"/>
      <c r="AO43" s="1722"/>
      <c r="AP43" s="1720"/>
      <c r="AQ43" s="1722"/>
      <c r="AR43" s="1720"/>
      <c r="AS43" s="1722"/>
      <c r="AT43" s="1720"/>
      <c r="AU43" s="1722"/>
      <c r="AV43" s="1720">
        <f t="shared" si="0"/>
        <v>372627</v>
      </c>
      <c r="AW43" s="1722">
        <f t="shared" si="1"/>
        <v>400014</v>
      </c>
      <c r="AX43" s="1720"/>
      <c r="AY43" s="1722"/>
      <c r="AZ43" s="1720">
        <f t="shared" si="2"/>
        <v>372627</v>
      </c>
      <c r="BA43" s="760">
        <f t="shared" si="3"/>
        <v>400014</v>
      </c>
    </row>
    <row r="44" spans="1:53" ht="16.5">
      <c r="A44" s="140" t="s">
        <v>513</v>
      </c>
      <c r="B44" s="1724">
        <v>4091676</v>
      </c>
      <c r="C44" s="1723">
        <v>1885718</v>
      </c>
      <c r="D44" s="1720">
        <v>266350</v>
      </c>
      <c r="E44" s="1722">
        <v>260531</v>
      </c>
      <c r="F44" s="1720">
        <v>414826</v>
      </c>
      <c r="G44" s="1722">
        <v>330911</v>
      </c>
      <c r="H44" s="1720">
        <v>1536924</v>
      </c>
      <c r="I44" s="1722">
        <v>1488104</v>
      </c>
      <c r="J44" s="1720">
        <v>633058</v>
      </c>
      <c r="K44" s="1722">
        <v>753079</v>
      </c>
      <c r="L44" s="1720">
        <v>1001064</v>
      </c>
      <c r="M44" s="760">
        <v>879374</v>
      </c>
      <c r="N44" s="767">
        <v>546060</v>
      </c>
      <c r="O44" s="760">
        <v>317798</v>
      </c>
      <c r="P44" s="767">
        <v>306793</v>
      </c>
      <c r="Q44" s="760">
        <v>264868</v>
      </c>
      <c r="R44" s="767">
        <v>1366268</v>
      </c>
      <c r="S44" s="760">
        <v>977593</v>
      </c>
      <c r="T44" s="767">
        <v>274436</v>
      </c>
      <c r="U44" s="760">
        <v>234063</v>
      </c>
      <c r="V44" s="767">
        <v>2043629</v>
      </c>
      <c r="W44" s="760">
        <v>3321785</v>
      </c>
      <c r="X44" s="767">
        <v>978213</v>
      </c>
      <c r="Y44" s="1722">
        <v>6337803</v>
      </c>
      <c r="Z44" s="1720">
        <v>556763</v>
      </c>
      <c r="AA44" s="1722">
        <v>638524</v>
      </c>
      <c r="AB44" s="1720">
        <v>611874</v>
      </c>
      <c r="AC44" s="760">
        <v>310083</v>
      </c>
      <c r="AD44" s="767">
        <v>215055</v>
      </c>
      <c r="AE44" s="1722">
        <v>627296</v>
      </c>
      <c r="AF44" s="1720">
        <v>2823288</v>
      </c>
      <c r="AG44" s="1722">
        <v>2163526</v>
      </c>
      <c r="AH44" s="1720">
        <v>1616192</v>
      </c>
      <c r="AI44" s="760">
        <v>1226558</v>
      </c>
      <c r="AJ44" s="767">
        <v>1913062</v>
      </c>
      <c r="AK44" s="1722">
        <v>976145</v>
      </c>
      <c r="AL44" s="1720">
        <v>15912102</v>
      </c>
      <c r="AM44" s="1722">
        <v>17421915</v>
      </c>
      <c r="AN44" s="1720">
        <v>15912102</v>
      </c>
      <c r="AO44" s="1722">
        <v>17421915</v>
      </c>
      <c r="AP44" s="1720">
        <v>895852</v>
      </c>
      <c r="AQ44" s="1722">
        <v>1344106</v>
      </c>
      <c r="AR44" s="1720">
        <v>532073</v>
      </c>
      <c r="AS44" s="1722">
        <v>185870</v>
      </c>
      <c r="AT44" s="1720">
        <v>1478061</v>
      </c>
      <c r="AU44" s="1722">
        <v>691022</v>
      </c>
      <c r="AV44" s="1720">
        <f t="shared" si="0"/>
        <v>55925721</v>
      </c>
      <c r="AW44" s="1722">
        <f t="shared" si="1"/>
        <v>60058587</v>
      </c>
      <c r="AX44" s="1720">
        <v>111393829</v>
      </c>
      <c r="AY44" s="1722">
        <v>114873633</v>
      </c>
      <c r="AZ44" s="1720">
        <f t="shared" si="2"/>
        <v>167319550</v>
      </c>
      <c r="BA44" s="760">
        <f t="shared" si="3"/>
        <v>174932220</v>
      </c>
    </row>
    <row r="45" spans="1:53" ht="16.5">
      <c r="A45" s="140" t="s">
        <v>504</v>
      </c>
      <c r="B45" s="1724">
        <v>10434681</v>
      </c>
      <c r="C45" s="1723">
        <v>10175702</v>
      </c>
      <c r="D45" s="1720">
        <v>1568305</v>
      </c>
      <c r="E45" s="1722">
        <v>1261323</v>
      </c>
      <c r="F45" s="1720">
        <v>3956555</v>
      </c>
      <c r="G45" s="1722">
        <v>3748947</v>
      </c>
      <c r="H45" s="1720">
        <v>19384019</v>
      </c>
      <c r="I45" s="1722">
        <v>20352572</v>
      </c>
      <c r="J45" s="1720">
        <v>3422432</v>
      </c>
      <c r="K45" s="1722">
        <v>3314526</v>
      </c>
      <c r="L45" s="1720">
        <v>3092737</v>
      </c>
      <c r="M45" s="760">
        <v>2201119</v>
      </c>
      <c r="N45" s="767">
        <v>4438988</v>
      </c>
      <c r="O45" s="760">
        <v>2623475</v>
      </c>
      <c r="P45" s="767">
        <v>1844995</v>
      </c>
      <c r="Q45" s="760">
        <v>1726214</v>
      </c>
      <c r="R45" s="767">
        <v>5352555</v>
      </c>
      <c r="S45" s="760">
        <v>5008212</v>
      </c>
      <c r="T45" s="767">
        <v>1691182</v>
      </c>
      <c r="U45" s="760">
        <v>2060517</v>
      </c>
      <c r="V45" s="767">
        <v>27482829</v>
      </c>
      <c r="W45" s="760">
        <v>23433962</v>
      </c>
      <c r="X45" s="767">
        <v>21672695</v>
      </c>
      <c r="Y45" s="1722">
        <v>23410040</v>
      </c>
      <c r="Z45" s="1720">
        <v>4005873</v>
      </c>
      <c r="AA45" s="1722">
        <v>3368095</v>
      </c>
      <c r="AB45" s="1720">
        <v>4328529</v>
      </c>
      <c r="AC45" s="760">
        <v>3719889</v>
      </c>
      <c r="AD45" s="767">
        <v>6141052</v>
      </c>
      <c r="AE45" s="1722">
        <v>4230115</v>
      </c>
      <c r="AF45" s="1720">
        <v>18223210</v>
      </c>
      <c r="AG45" s="1722">
        <v>16286708</v>
      </c>
      <c r="AH45" s="1720">
        <v>8352934</v>
      </c>
      <c r="AI45" s="760">
        <v>6735996</v>
      </c>
      <c r="AJ45" s="767">
        <v>7819614</v>
      </c>
      <c r="AK45" s="1722">
        <v>9467636</v>
      </c>
      <c r="AL45" s="1720">
        <v>39512413</v>
      </c>
      <c r="AM45" s="1722">
        <v>34791177</v>
      </c>
      <c r="AN45" s="1720">
        <v>39512413</v>
      </c>
      <c r="AO45" s="1722">
        <v>34791177</v>
      </c>
      <c r="AP45" s="1720">
        <v>2963514</v>
      </c>
      <c r="AQ45" s="1722">
        <v>3255598</v>
      </c>
      <c r="AR45" s="1720">
        <v>2932055</v>
      </c>
      <c r="AS45" s="1722">
        <v>2806210</v>
      </c>
      <c r="AT45" s="1720">
        <v>9266057</v>
      </c>
      <c r="AU45" s="1722">
        <v>6203378</v>
      </c>
      <c r="AV45" s="1720">
        <f t="shared" si="0"/>
        <v>247399637</v>
      </c>
      <c r="AW45" s="1722">
        <f t="shared" si="1"/>
        <v>224972588</v>
      </c>
      <c r="AX45" s="1720">
        <v>1294669414</v>
      </c>
      <c r="AY45" s="1722">
        <v>1132794426</v>
      </c>
      <c r="AZ45" s="1720">
        <f t="shared" si="2"/>
        <v>1542069051</v>
      </c>
      <c r="BA45" s="760">
        <f t="shared" si="3"/>
        <v>1357767014</v>
      </c>
    </row>
    <row r="46" spans="1:53" s="1730" customFormat="1" ht="18">
      <c r="A46" s="179" t="s">
        <v>489</v>
      </c>
      <c r="B46" s="1731">
        <f>SUM(B44:B45)</f>
        <v>14526357</v>
      </c>
      <c r="C46" s="1732">
        <f>SUM(C44:C45)</f>
        <v>12061420</v>
      </c>
      <c r="D46" s="1735">
        <v>1834655</v>
      </c>
      <c r="E46" s="1736">
        <v>1521854</v>
      </c>
      <c r="F46" s="1735">
        <v>4371381</v>
      </c>
      <c r="G46" s="1736">
        <v>4079858</v>
      </c>
      <c r="H46" s="1735">
        <v>20920943</v>
      </c>
      <c r="I46" s="1736">
        <v>21840676</v>
      </c>
      <c r="J46" s="1735">
        <v>4055490</v>
      </c>
      <c r="K46" s="1736">
        <v>4067605</v>
      </c>
      <c r="L46" s="1735">
        <v>4093801</v>
      </c>
      <c r="M46" s="1737">
        <v>3080493</v>
      </c>
      <c r="N46" s="1738">
        <v>4985048</v>
      </c>
      <c r="O46" s="1737">
        <v>2941273</v>
      </c>
      <c r="P46" s="1738">
        <v>2151788</v>
      </c>
      <c r="Q46" s="1737">
        <v>1991082</v>
      </c>
      <c r="R46" s="1738">
        <v>6718824</v>
      </c>
      <c r="S46" s="1737">
        <v>5985805</v>
      </c>
      <c r="T46" s="1738">
        <v>1965618</v>
      </c>
      <c r="U46" s="1737">
        <v>2294580</v>
      </c>
      <c r="V46" s="1738">
        <v>29526458</v>
      </c>
      <c r="W46" s="1737">
        <v>26755747</v>
      </c>
      <c r="X46" s="1738">
        <v>22650908</v>
      </c>
      <c r="Y46" s="1736">
        <v>29747843</v>
      </c>
      <c r="Z46" s="1735">
        <v>4562636</v>
      </c>
      <c r="AA46" s="1736">
        <v>4006619</v>
      </c>
      <c r="AB46" s="1735">
        <v>4940404</v>
      </c>
      <c r="AC46" s="1737">
        <v>4029972</v>
      </c>
      <c r="AD46" s="1738">
        <v>6356107</v>
      </c>
      <c r="AE46" s="1736">
        <v>4857411</v>
      </c>
      <c r="AF46" s="1735">
        <v>21046498</v>
      </c>
      <c r="AG46" s="1736">
        <v>18450234</v>
      </c>
      <c r="AH46" s="1735">
        <v>9969126</v>
      </c>
      <c r="AI46" s="1737">
        <v>7962554</v>
      </c>
      <c r="AJ46" s="1738">
        <v>9732676</v>
      </c>
      <c r="AK46" s="1736">
        <v>10443781</v>
      </c>
      <c r="AL46" s="1735">
        <v>55424515</v>
      </c>
      <c r="AM46" s="1736">
        <v>52213093</v>
      </c>
      <c r="AN46" s="1735">
        <v>55424515</v>
      </c>
      <c r="AO46" s="1736">
        <f>52213093</f>
        <v>52213093</v>
      </c>
      <c r="AP46" s="1735">
        <v>3859366</v>
      </c>
      <c r="AQ46" s="1736">
        <v>4599704</v>
      </c>
      <c r="AR46" s="1735">
        <v>3464128</v>
      </c>
      <c r="AS46" s="1736">
        <v>2992080</v>
      </c>
      <c r="AT46" s="1735">
        <v>10744118</v>
      </c>
      <c r="AU46" s="1736">
        <v>6894400</v>
      </c>
      <c r="AV46" s="1735">
        <f t="shared" si="0"/>
        <v>303325360</v>
      </c>
      <c r="AW46" s="1736">
        <f t="shared" si="1"/>
        <v>285031177</v>
      </c>
      <c r="AX46" s="1735">
        <v>1406063243</v>
      </c>
      <c r="AY46" s="1736">
        <v>1247668059</v>
      </c>
      <c r="AZ46" s="1735">
        <f t="shared" si="2"/>
        <v>1709388603</v>
      </c>
      <c r="BA46" s="1737">
        <f t="shared" si="3"/>
        <v>1532699236</v>
      </c>
    </row>
    <row r="47" spans="1:53" ht="16.5">
      <c r="A47" s="140" t="s">
        <v>514</v>
      </c>
      <c r="B47" s="1724">
        <v>9155273</v>
      </c>
      <c r="C47" s="1723">
        <v>8581042</v>
      </c>
      <c r="D47" s="1720">
        <v>1668418</v>
      </c>
      <c r="E47" s="1722">
        <v>1454633</v>
      </c>
      <c r="F47" s="1720">
        <v>3832459</v>
      </c>
      <c r="G47" s="1722">
        <v>4070459</v>
      </c>
      <c r="H47" s="1720">
        <v>14020827</v>
      </c>
      <c r="I47" s="1722">
        <v>13594793</v>
      </c>
      <c r="J47" s="1720">
        <v>3234578</v>
      </c>
      <c r="K47" s="1722">
        <v>3490578</v>
      </c>
      <c r="L47" s="1720">
        <v>2958579</v>
      </c>
      <c r="M47" s="760">
        <v>2694350</v>
      </c>
      <c r="N47" s="767">
        <v>3437414</v>
      </c>
      <c r="O47" s="760">
        <v>3451640</v>
      </c>
      <c r="P47" s="767">
        <v>1641094</v>
      </c>
      <c r="Q47" s="760">
        <v>1814395</v>
      </c>
      <c r="R47" s="767">
        <v>3949838</v>
      </c>
      <c r="S47" s="760">
        <v>4290495</v>
      </c>
      <c r="T47" s="767">
        <v>1491811</v>
      </c>
      <c r="U47" s="760">
        <v>2085359</v>
      </c>
      <c r="V47" s="767">
        <v>45599971</v>
      </c>
      <c r="W47" s="760">
        <v>36420028</v>
      </c>
      <c r="X47" s="767">
        <v>25001498</v>
      </c>
      <c r="Y47" s="1722">
        <v>33303210</v>
      </c>
      <c r="Z47" s="1720">
        <v>1542497</v>
      </c>
      <c r="AA47" s="1722">
        <v>2028116</v>
      </c>
      <c r="AB47" s="1720">
        <v>4685360</v>
      </c>
      <c r="AC47" s="760">
        <v>3160336</v>
      </c>
      <c r="AD47" s="767">
        <v>9820064</v>
      </c>
      <c r="AE47" s="1722">
        <v>8341211</v>
      </c>
      <c r="AF47" s="1720">
        <v>16728729</v>
      </c>
      <c r="AG47" s="1722">
        <v>14561903</v>
      </c>
      <c r="AH47" s="1720">
        <v>9843885</v>
      </c>
      <c r="AI47" s="760">
        <v>8821436</v>
      </c>
      <c r="AJ47" s="767">
        <v>7602044</v>
      </c>
      <c r="AK47" s="1722">
        <v>9338622</v>
      </c>
      <c r="AL47" s="1720">
        <v>25527834</v>
      </c>
      <c r="AM47" s="1722">
        <v>23318824</v>
      </c>
      <c r="AN47" s="1720">
        <v>25527834</v>
      </c>
      <c r="AO47" s="1722">
        <v>23318824</v>
      </c>
      <c r="AP47" s="1720">
        <v>2325183</v>
      </c>
      <c r="AQ47" s="1722">
        <v>2625767</v>
      </c>
      <c r="AR47" s="1720">
        <v>1834104</v>
      </c>
      <c r="AS47" s="1722">
        <v>1389224</v>
      </c>
      <c r="AT47" s="1720">
        <v>8644293</v>
      </c>
      <c r="AU47" s="1722">
        <v>9626804</v>
      </c>
      <c r="AV47" s="1720">
        <f t="shared" si="0"/>
        <v>230073587</v>
      </c>
      <c r="AW47" s="1722">
        <f t="shared" si="1"/>
        <v>221782049</v>
      </c>
      <c r="AX47" s="1720">
        <v>465983250</v>
      </c>
      <c r="AY47" s="1722">
        <v>541016886</v>
      </c>
      <c r="AZ47" s="1720">
        <f t="shared" si="2"/>
        <v>696056837</v>
      </c>
      <c r="BA47" s="760">
        <f t="shared" si="3"/>
        <v>762798935</v>
      </c>
    </row>
    <row r="48" spans="1:53" ht="16.5">
      <c r="A48" s="140" t="s">
        <v>515</v>
      </c>
      <c r="B48" s="1724">
        <v>725534</v>
      </c>
      <c r="C48" s="1723">
        <v>305894</v>
      </c>
      <c r="D48" s="1720">
        <v>19932</v>
      </c>
      <c r="E48" s="1722">
        <v>16256</v>
      </c>
      <c r="F48" s="1720">
        <v>106424</v>
      </c>
      <c r="G48" s="1722">
        <v>115104</v>
      </c>
      <c r="H48" s="1720">
        <v>4643467</v>
      </c>
      <c r="I48" s="1722">
        <v>4997194</v>
      </c>
      <c r="J48" s="1720">
        <v>206651</v>
      </c>
      <c r="K48" s="1722">
        <v>195498</v>
      </c>
      <c r="L48" s="1720">
        <v>64238</v>
      </c>
      <c r="M48" s="760">
        <v>65288</v>
      </c>
      <c r="N48" s="767">
        <v>147895</v>
      </c>
      <c r="O48" s="760">
        <v>144835</v>
      </c>
      <c r="P48" s="767">
        <v>20385</v>
      </c>
      <c r="Q48" s="760">
        <v>18253</v>
      </c>
      <c r="R48" s="767">
        <v>259608</v>
      </c>
      <c r="S48" s="760">
        <v>117118</v>
      </c>
      <c r="T48" s="767">
        <v>84085</v>
      </c>
      <c r="U48" s="760">
        <v>50134</v>
      </c>
      <c r="V48" s="767">
        <v>589408</v>
      </c>
      <c r="W48" s="760">
        <v>466856</v>
      </c>
      <c r="X48" s="767">
        <v>306085</v>
      </c>
      <c r="Y48" s="1722">
        <v>277025</v>
      </c>
      <c r="Z48" s="1720">
        <v>144655</v>
      </c>
      <c r="AA48" s="1722">
        <v>55428</v>
      </c>
      <c r="AB48" s="1720">
        <v>8896</v>
      </c>
      <c r="AC48" s="760">
        <v>10946</v>
      </c>
      <c r="AD48" s="767">
        <v>512350</v>
      </c>
      <c r="AE48" s="1722">
        <v>338991</v>
      </c>
      <c r="AF48" s="1720">
        <v>554685</v>
      </c>
      <c r="AG48" s="1722">
        <v>469468</v>
      </c>
      <c r="AH48" s="1720">
        <v>351627</v>
      </c>
      <c r="AI48" s="760">
        <v>288038</v>
      </c>
      <c r="AJ48" s="767">
        <v>435173</v>
      </c>
      <c r="AK48" s="1722">
        <v>185242</v>
      </c>
      <c r="AL48" s="1720">
        <v>2997659</v>
      </c>
      <c r="AM48" s="1722">
        <v>2718437</v>
      </c>
      <c r="AN48" s="1720">
        <v>2997659</v>
      </c>
      <c r="AO48" s="1722">
        <v>2718437</v>
      </c>
      <c r="AP48" s="1720">
        <v>232821</v>
      </c>
      <c r="AQ48" s="1722">
        <v>221587</v>
      </c>
      <c r="AR48" s="1720">
        <v>45510</v>
      </c>
      <c r="AS48" s="1722">
        <v>50572</v>
      </c>
      <c r="AT48" s="1720">
        <v>576384</v>
      </c>
      <c r="AU48" s="1722">
        <v>515627</v>
      </c>
      <c r="AV48" s="1720">
        <f t="shared" si="0"/>
        <v>16031131</v>
      </c>
      <c r="AW48" s="1722">
        <f t="shared" si="1"/>
        <v>14342228</v>
      </c>
      <c r="AX48" s="1720">
        <v>176036514</v>
      </c>
      <c r="AY48" s="1722">
        <v>171954785</v>
      </c>
      <c r="AZ48" s="1720">
        <f t="shared" si="2"/>
        <v>192067645</v>
      </c>
      <c r="BA48" s="760">
        <f t="shared" si="3"/>
        <v>186297013</v>
      </c>
    </row>
    <row r="49" spans="1:53" s="1730" customFormat="1" ht="18">
      <c r="A49" s="179" t="s">
        <v>490</v>
      </c>
      <c r="B49" s="1731">
        <f>SUM(B47:B48)</f>
        <v>9880807</v>
      </c>
      <c r="C49" s="1732">
        <f>SUM(C47:C48)</f>
        <v>8886936</v>
      </c>
      <c r="D49" s="1735">
        <v>1688350</v>
      </c>
      <c r="E49" s="1736">
        <f aca="true" t="shared" si="7" ref="E49:O49">SUM(E47:E48)</f>
        <v>1470889</v>
      </c>
      <c r="F49" s="1735">
        <f t="shared" si="7"/>
        <v>3938883</v>
      </c>
      <c r="G49" s="1736">
        <f t="shared" si="7"/>
        <v>4185563</v>
      </c>
      <c r="H49" s="1735">
        <f t="shared" si="7"/>
        <v>18664294</v>
      </c>
      <c r="I49" s="1736">
        <f t="shared" si="7"/>
        <v>18591987</v>
      </c>
      <c r="J49" s="1735">
        <f t="shared" si="7"/>
        <v>3441229</v>
      </c>
      <c r="K49" s="1736">
        <f t="shared" si="7"/>
        <v>3686076</v>
      </c>
      <c r="L49" s="1735">
        <f t="shared" si="7"/>
        <v>3022817</v>
      </c>
      <c r="M49" s="1737">
        <f t="shared" si="7"/>
        <v>2759638</v>
      </c>
      <c r="N49" s="1738">
        <f t="shared" si="7"/>
        <v>3585309</v>
      </c>
      <c r="O49" s="1737">
        <f t="shared" si="7"/>
        <v>3596475</v>
      </c>
      <c r="P49" s="1738">
        <f aca="true" t="shared" si="8" ref="P49:Y49">SUM(P47:P48)</f>
        <v>1661479</v>
      </c>
      <c r="Q49" s="1737">
        <f t="shared" si="8"/>
        <v>1832648</v>
      </c>
      <c r="R49" s="1738">
        <f t="shared" si="8"/>
        <v>4209446</v>
      </c>
      <c r="S49" s="1737">
        <f t="shared" si="8"/>
        <v>4407613</v>
      </c>
      <c r="T49" s="1738">
        <f t="shared" si="8"/>
        <v>1575896</v>
      </c>
      <c r="U49" s="1737">
        <f t="shared" si="8"/>
        <v>2135493</v>
      </c>
      <c r="V49" s="1738">
        <f t="shared" si="8"/>
        <v>46189379</v>
      </c>
      <c r="W49" s="1737">
        <f t="shared" si="8"/>
        <v>36886884</v>
      </c>
      <c r="X49" s="1738">
        <f t="shared" si="8"/>
        <v>25307583</v>
      </c>
      <c r="Y49" s="1736">
        <f t="shared" si="8"/>
        <v>33580235</v>
      </c>
      <c r="Z49" s="1735">
        <v>1687152</v>
      </c>
      <c r="AA49" s="1736">
        <v>2083544</v>
      </c>
      <c r="AB49" s="1735">
        <v>4694256</v>
      </c>
      <c r="AC49" s="1737">
        <v>3171282</v>
      </c>
      <c r="AD49" s="1738">
        <v>10332414</v>
      </c>
      <c r="AE49" s="1736">
        <v>8680202</v>
      </c>
      <c r="AF49" s="1735">
        <v>17283414</v>
      </c>
      <c r="AG49" s="1736">
        <v>15031371</v>
      </c>
      <c r="AH49" s="1735">
        <v>10195512</v>
      </c>
      <c r="AI49" s="1737">
        <v>9109474</v>
      </c>
      <c r="AJ49" s="1738">
        <v>8037217</v>
      </c>
      <c r="AK49" s="1736">
        <v>9523864</v>
      </c>
      <c r="AL49" s="1735">
        <v>28525493</v>
      </c>
      <c r="AM49" s="1736">
        <v>26037261</v>
      </c>
      <c r="AN49" s="1735">
        <f>SUM(AN47:AN48)</f>
        <v>28525493</v>
      </c>
      <c r="AO49" s="1736">
        <f>SUM(AO47:AO48)</f>
        <v>26037261</v>
      </c>
      <c r="AP49" s="1735">
        <f aca="true" t="shared" si="9" ref="AP49:AU49">SUM(AP47:AP48)</f>
        <v>2558004</v>
      </c>
      <c r="AQ49" s="1736">
        <f t="shared" si="9"/>
        <v>2847354</v>
      </c>
      <c r="AR49" s="1735">
        <f t="shared" si="9"/>
        <v>1879614</v>
      </c>
      <c r="AS49" s="1736">
        <f t="shared" si="9"/>
        <v>1439796</v>
      </c>
      <c r="AT49" s="1735">
        <f t="shared" si="9"/>
        <v>9220677</v>
      </c>
      <c r="AU49" s="1736">
        <f t="shared" si="9"/>
        <v>10142431</v>
      </c>
      <c r="AV49" s="1735">
        <f t="shared" si="0"/>
        <v>246104718</v>
      </c>
      <c r="AW49" s="1736">
        <f t="shared" si="1"/>
        <v>236124277</v>
      </c>
      <c r="AX49" s="1735">
        <f>SUM(AX47:AX48)</f>
        <v>642019764</v>
      </c>
      <c r="AY49" s="1736">
        <f>SUM(AY47:AY48)</f>
        <v>712971671</v>
      </c>
      <c r="AZ49" s="1735">
        <f t="shared" si="2"/>
        <v>888124482</v>
      </c>
      <c r="BA49" s="1737">
        <f t="shared" si="3"/>
        <v>949095948</v>
      </c>
    </row>
    <row r="50" spans="1:53" s="1730" customFormat="1" ht="18">
      <c r="A50" s="179" t="s">
        <v>491</v>
      </c>
      <c r="B50" s="1731">
        <f aca="true" t="shared" si="10" ref="B50:O50">B46-B49</f>
        <v>4645550</v>
      </c>
      <c r="C50" s="1732">
        <f t="shared" si="10"/>
        <v>3174484</v>
      </c>
      <c r="D50" s="1735">
        <f t="shared" si="10"/>
        <v>146305</v>
      </c>
      <c r="E50" s="1736">
        <f t="shared" si="10"/>
        <v>50965</v>
      </c>
      <c r="F50" s="1735">
        <f t="shared" si="10"/>
        <v>432498</v>
      </c>
      <c r="G50" s="1736">
        <f t="shared" si="10"/>
        <v>-105705</v>
      </c>
      <c r="H50" s="1735">
        <f t="shared" si="10"/>
        <v>2256649</v>
      </c>
      <c r="I50" s="1736">
        <f t="shared" si="10"/>
        <v>3248689</v>
      </c>
      <c r="J50" s="1735">
        <f t="shared" si="10"/>
        <v>614261</v>
      </c>
      <c r="K50" s="1736">
        <f t="shared" si="10"/>
        <v>381529</v>
      </c>
      <c r="L50" s="1735">
        <f t="shared" si="10"/>
        <v>1070984</v>
      </c>
      <c r="M50" s="1737">
        <f t="shared" si="10"/>
        <v>320855</v>
      </c>
      <c r="N50" s="1738">
        <f t="shared" si="10"/>
        <v>1399739</v>
      </c>
      <c r="O50" s="1737">
        <f t="shared" si="10"/>
        <v>-655202</v>
      </c>
      <c r="P50" s="1738">
        <f aca="true" t="shared" si="11" ref="P50:Y50">P46-P49</f>
        <v>490309</v>
      </c>
      <c r="Q50" s="1737">
        <f t="shared" si="11"/>
        <v>158434</v>
      </c>
      <c r="R50" s="1738">
        <f t="shared" si="11"/>
        <v>2509378</v>
      </c>
      <c r="S50" s="1737">
        <f t="shared" si="11"/>
        <v>1578192</v>
      </c>
      <c r="T50" s="1738">
        <f t="shared" si="11"/>
        <v>389722</v>
      </c>
      <c r="U50" s="1737">
        <f t="shared" si="11"/>
        <v>159087</v>
      </c>
      <c r="V50" s="1738">
        <f t="shared" si="11"/>
        <v>-16662921</v>
      </c>
      <c r="W50" s="1737">
        <f t="shared" si="11"/>
        <v>-10131137</v>
      </c>
      <c r="X50" s="1738">
        <f t="shared" si="11"/>
        <v>-2656675</v>
      </c>
      <c r="Y50" s="1736">
        <f t="shared" si="11"/>
        <v>-3832392</v>
      </c>
      <c r="Z50" s="1735">
        <v>2875484</v>
      </c>
      <c r="AA50" s="1736">
        <v>1923076</v>
      </c>
      <c r="AB50" s="1735">
        <v>246147</v>
      </c>
      <c r="AC50" s="1737">
        <v>858690</v>
      </c>
      <c r="AD50" s="1738">
        <f>AD46-AD49</f>
        <v>-3976307</v>
      </c>
      <c r="AE50" s="1736">
        <f>AE46-AE49</f>
        <v>-3822791</v>
      </c>
      <c r="AF50" s="1735">
        <v>3763084</v>
      </c>
      <c r="AG50" s="1736">
        <f>AG46-AG49</f>
        <v>3418863</v>
      </c>
      <c r="AH50" s="1735">
        <v>-226386</v>
      </c>
      <c r="AI50" s="1737">
        <v>-1146920</v>
      </c>
      <c r="AJ50" s="1738">
        <v>1695459</v>
      </c>
      <c r="AK50" s="1736">
        <v>919917</v>
      </c>
      <c r="AL50" s="1735">
        <f>AL46-AL49</f>
        <v>26899022</v>
      </c>
      <c r="AM50" s="1736">
        <f>AM46-AM49</f>
        <v>26175832</v>
      </c>
      <c r="AN50" s="1735">
        <f>AN46-AN49</f>
        <v>26899022</v>
      </c>
      <c r="AO50" s="1736">
        <f>AO46-AO49</f>
        <v>26175832</v>
      </c>
      <c r="AP50" s="1735">
        <f aca="true" t="shared" si="12" ref="AP50:AU50">AP46-AP49</f>
        <v>1301362</v>
      </c>
      <c r="AQ50" s="1736">
        <f t="shared" si="12"/>
        <v>1752350</v>
      </c>
      <c r="AR50" s="1735">
        <f t="shared" si="12"/>
        <v>1584514</v>
      </c>
      <c r="AS50" s="1736">
        <f t="shared" si="12"/>
        <v>1552284</v>
      </c>
      <c r="AT50" s="1735">
        <f t="shared" si="12"/>
        <v>1523441</v>
      </c>
      <c r="AU50" s="1736">
        <f t="shared" si="12"/>
        <v>-3248031</v>
      </c>
      <c r="AV50" s="1735">
        <f t="shared" si="0"/>
        <v>57220641</v>
      </c>
      <c r="AW50" s="1736">
        <f t="shared" si="1"/>
        <v>48906901</v>
      </c>
      <c r="AX50" s="1735">
        <f>AX46-AX49</f>
        <v>764043479</v>
      </c>
      <c r="AY50" s="1736">
        <f>AY46-AY49</f>
        <v>534696388</v>
      </c>
      <c r="AZ50" s="1735">
        <f t="shared" si="2"/>
        <v>821264120</v>
      </c>
      <c r="BA50" s="1737">
        <f t="shared" si="3"/>
        <v>583603289</v>
      </c>
    </row>
    <row r="51" spans="1:53" ht="16.5">
      <c r="A51" s="140" t="s">
        <v>492</v>
      </c>
      <c r="B51" s="1724"/>
      <c r="C51" s="1723"/>
      <c r="D51" s="1720"/>
      <c r="E51" s="1722"/>
      <c r="F51" s="1720"/>
      <c r="G51" s="1722"/>
      <c r="H51" s="1720"/>
      <c r="I51" s="1722"/>
      <c r="J51" s="1720"/>
      <c r="K51" s="1722"/>
      <c r="L51" s="1720"/>
      <c r="M51" s="760"/>
      <c r="N51" s="767"/>
      <c r="O51" s="760"/>
      <c r="P51" s="767"/>
      <c r="Q51" s="760"/>
      <c r="R51" s="767"/>
      <c r="S51" s="760"/>
      <c r="T51" s="767"/>
      <c r="U51" s="760"/>
      <c r="V51" s="767"/>
      <c r="W51" s="760"/>
      <c r="X51" s="767"/>
      <c r="Y51" s="1722"/>
      <c r="Z51" s="1720"/>
      <c r="AA51" s="1722"/>
      <c r="AB51" s="1720"/>
      <c r="AC51" s="760"/>
      <c r="AD51" s="767"/>
      <c r="AE51" s="1722"/>
      <c r="AF51" s="1720"/>
      <c r="AG51" s="1722"/>
      <c r="AH51" s="1720"/>
      <c r="AI51" s="760"/>
      <c r="AJ51" s="767"/>
      <c r="AK51" s="1722"/>
      <c r="AL51" s="1720"/>
      <c r="AM51" s="1722"/>
      <c r="AN51" s="1720"/>
      <c r="AO51" s="1722"/>
      <c r="AP51" s="1720"/>
      <c r="AQ51" s="1722"/>
      <c r="AR51" s="1720"/>
      <c r="AS51" s="1722"/>
      <c r="AT51" s="1720"/>
      <c r="AU51" s="1722"/>
      <c r="AV51" s="1720">
        <f t="shared" si="0"/>
        <v>0</v>
      </c>
      <c r="AW51" s="1722">
        <f t="shared" si="1"/>
        <v>0</v>
      </c>
      <c r="AX51" s="1720"/>
      <c r="AY51" s="1722"/>
      <c r="AZ51" s="1720">
        <f t="shared" si="2"/>
        <v>0</v>
      </c>
      <c r="BA51" s="760">
        <f t="shared" si="3"/>
        <v>0</v>
      </c>
    </row>
    <row r="52" spans="1:53" ht="16.5">
      <c r="A52" s="140" t="s">
        <v>493</v>
      </c>
      <c r="B52" s="1724"/>
      <c r="C52" s="1723"/>
      <c r="D52" s="1720"/>
      <c r="E52" s="1722"/>
      <c r="F52" s="1720"/>
      <c r="G52" s="1722"/>
      <c r="H52" s="1720"/>
      <c r="I52" s="1722"/>
      <c r="J52" s="1720"/>
      <c r="K52" s="1722"/>
      <c r="L52" s="1720"/>
      <c r="M52" s="760"/>
      <c r="N52" s="767"/>
      <c r="O52" s="760"/>
      <c r="P52" s="767"/>
      <c r="Q52" s="760"/>
      <c r="R52" s="767"/>
      <c r="S52" s="760"/>
      <c r="T52" s="767"/>
      <c r="U52" s="760"/>
      <c r="V52" s="767"/>
      <c r="W52" s="760"/>
      <c r="X52" s="767"/>
      <c r="Y52" s="1722"/>
      <c r="Z52" s="1720"/>
      <c r="AA52" s="1722"/>
      <c r="AB52" s="1720"/>
      <c r="AC52" s="760"/>
      <c r="AD52" s="767"/>
      <c r="AE52" s="1722"/>
      <c r="AF52" s="1720"/>
      <c r="AG52" s="1722"/>
      <c r="AH52" s="1720"/>
      <c r="AI52" s="760"/>
      <c r="AJ52" s="767"/>
      <c r="AK52" s="1722"/>
      <c r="AL52" s="1720"/>
      <c r="AM52" s="1722"/>
      <c r="AN52" s="1720"/>
      <c r="AO52" s="1722"/>
      <c r="AP52" s="1720"/>
      <c r="AQ52" s="1722"/>
      <c r="AR52" s="1720"/>
      <c r="AS52" s="1722"/>
      <c r="AT52" s="1720"/>
      <c r="AU52" s="1722"/>
      <c r="AV52" s="1720">
        <f t="shared" si="0"/>
        <v>0</v>
      </c>
      <c r="AW52" s="1722">
        <f t="shared" si="1"/>
        <v>0</v>
      </c>
      <c r="AX52" s="1720"/>
      <c r="AY52" s="1722"/>
      <c r="AZ52" s="1720">
        <f t="shared" si="2"/>
        <v>0</v>
      </c>
      <c r="BA52" s="760">
        <f t="shared" si="3"/>
        <v>0</v>
      </c>
    </row>
    <row r="53" spans="1:53" ht="16.5">
      <c r="A53" s="140" t="s">
        <v>494</v>
      </c>
      <c r="B53" s="1724">
        <v>506544</v>
      </c>
      <c r="C53" s="1723">
        <v>1779251</v>
      </c>
      <c r="D53" s="1720">
        <v>5636674</v>
      </c>
      <c r="E53" s="1722">
        <v>4897245</v>
      </c>
      <c r="F53" s="1720">
        <v>12987502</v>
      </c>
      <c r="G53" s="1722">
        <v>13526273</v>
      </c>
      <c r="H53" s="1720"/>
      <c r="I53" s="1722"/>
      <c r="J53" s="1720">
        <v>25273644</v>
      </c>
      <c r="K53" s="1722">
        <v>24671797</v>
      </c>
      <c r="L53" s="1720"/>
      <c r="M53" s="760">
        <v>1467508</v>
      </c>
      <c r="N53" s="767">
        <v>1866091</v>
      </c>
      <c r="O53" s="760">
        <v>2286776</v>
      </c>
      <c r="P53" s="767">
        <v>11812324</v>
      </c>
      <c r="Q53" s="760">
        <v>9057530</v>
      </c>
      <c r="R53" s="767">
        <v>2509377</v>
      </c>
      <c r="S53" s="760">
        <v>1578192</v>
      </c>
      <c r="T53" s="767">
        <v>17189855</v>
      </c>
      <c r="U53" s="760">
        <v>15250364</v>
      </c>
      <c r="V53" s="767"/>
      <c r="W53" s="760"/>
      <c r="X53" s="767"/>
      <c r="Y53" s="1722"/>
      <c r="Z53" s="1720"/>
      <c r="AA53" s="1722">
        <v>105262</v>
      </c>
      <c r="AB53" s="1720">
        <v>1626059</v>
      </c>
      <c r="AC53" s="760">
        <v>1678556</v>
      </c>
      <c r="AD53" s="767"/>
      <c r="AE53" s="1722"/>
      <c r="AF53" s="1720"/>
      <c r="AG53" s="1722"/>
      <c r="AH53" s="1720">
        <v>7676533</v>
      </c>
      <c r="AI53" s="760">
        <v>9122121</v>
      </c>
      <c r="AJ53" s="767">
        <v>22243831</v>
      </c>
      <c r="AK53" s="1722">
        <v>2575694</v>
      </c>
      <c r="AL53" s="1720"/>
      <c r="AM53" s="1722"/>
      <c r="AN53" s="1720"/>
      <c r="AO53" s="1722"/>
      <c r="AP53" s="1720"/>
      <c r="AQ53" s="1722"/>
      <c r="AR53" s="1720"/>
      <c r="AS53" s="1722">
        <v>215711</v>
      </c>
      <c r="AT53" s="1720"/>
      <c r="AU53" s="1722">
        <v>147271</v>
      </c>
      <c r="AV53" s="1720">
        <f t="shared" si="0"/>
        <v>109328434</v>
      </c>
      <c r="AW53" s="1722">
        <f t="shared" si="1"/>
        <v>88359551</v>
      </c>
      <c r="AX53" s="1720"/>
      <c r="AY53" s="1722"/>
      <c r="AZ53" s="1720">
        <f t="shared" si="2"/>
        <v>109328434</v>
      </c>
      <c r="BA53" s="760">
        <f t="shared" si="3"/>
        <v>88359551</v>
      </c>
    </row>
    <row r="54" spans="1:53" ht="16.5">
      <c r="A54" s="140" t="s">
        <v>495</v>
      </c>
      <c r="B54" s="1724"/>
      <c r="C54" s="1723"/>
      <c r="D54" s="1720">
        <v>13575398</v>
      </c>
      <c r="E54" s="1722">
        <v>12972340</v>
      </c>
      <c r="F54" s="1720"/>
      <c r="G54" s="1722"/>
      <c r="H54" s="1720"/>
      <c r="I54" s="1722"/>
      <c r="J54" s="1720"/>
      <c r="K54" s="1722"/>
      <c r="L54" s="1720"/>
      <c r="M54" s="760"/>
      <c r="N54" s="767"/>
      <c r="O54" s="760"/>
      <c r="P54" s="767"/>
      <c r="Q54" s="760"/>
      <c r="R54" s="767"/>
      <c r="S54" s="760"/>
      <c r="T54" s="767"/>
      <c r="U54" s="760"/>
      <c r="V54" s="767"/>
      <c r="W54" s="760"/>
      <c r="X54" s="767"/>
      <c r="Y54" s="1722"/>
      <c r="Z54" s="1720"/>
      <c r="AA54" s="1722">
        <v>34081</v>
      </c>
      <c r="AB54" s="1720"/>
      <c r="AC54" s="760"/>
      <c r="AD54" s="767"/>
      <c r="AE54" s="1722"/>
      <c r="AF54" s="1720"/>
      <c r="AG54" s="1722"/>
      <c r="AH54" s="1720"/>
      <c r="AI54" s="760"/>
      <c r="AJ54" s="767"/>
      <c r="AK54" s="1722"/>
      <c r="AL54" s="1720"/>
      <c r="AM54" s="1722"/>
      <c r="AN54" s="1720"/>
      <c r="AO54" s="1722"/>
      <c r="AP54" s="1720"/>
      <c r="AQ54" s="1722"/>
      <c r="AR54" s="1720"/>
      <c r="AS54" s="1722"/>
      <c r="AT54" s="1720"/>
      <c r="AU54" s="1722"/>
      <c r="AV54" s="1720">
        <f t="shared" si="0"/>
        <v>13575398</v>
      </c>
      <c r="AW54" s="1722">
        <f t="shared" si="1"/>
        <v>13006421</v>
      </c>
      <c r="AX54" s="1720"/>
      <c r="AY54" s="1722"/>
      <c r="AZ54" s="1720">
        <f t="shared" si="2"/>
        <v>13575398</v>
      </c>
      <c r="BA54" s="760">
        <f t="shared" si="3"/>
        <v>13006421</v>
      </c>
    </row>
    <row r="55" spans="1:53" s="1730" customFormat="1" ht="18">
      <c r="A55" s="179" t="s">
        <v>485</v>
      </c>
      <c r="B55" s="1731">
        <v>417445163</v>
      </c>
      <c r="C55" s="1732">
        <v>382335171</v>
      </c>
      <c r="D55" s="1735">
        <v>45975461</v>
      </c>
      <c r="E55" s="1736">
        <v>40193395</v>
      </c>
      <c r="F55" s="1735">
        <v>108905417</v>
      </c>
      <c r="G55" s="1736">
        <v>104816652</v>
      </c>
      <c r="H55" s="1735">
        <v>585571708</v>
      </c>
      <c r="I55" s="1736">
        <v>534101044</v>
      </c>
      <c r="J55" s="1735">
        <v>86963630</v>
      </c>
      <c r="K55" s="1736">
        <v>72347078</v>
      </c>
      <c r="L55" s="1735">
        <v>157157844</v>
      </c>
      <c r="M55" s="1737">
        <v>133716496</v>
      </c>
      <c r="N55" s="1738">
        <v>48587391</v>
      </c>
      <c r="O55" s="1737">
        <v>40934473</v>
      </c>
      <c r="P55" s="1738">
        <v>42690270</v>
      </c>
      <c r="Q55" s="1737">
        <v>35093127</v>
      </c>
      <c r="R55" s="1738">
        <v>155668041</v>
      </c>
      <c r="S55" s="1737">
        <v>136361350</v>
      </c>
      <c r="T55" s="1738">
        <v>57076159</v>
      </c>
      <c r="U55" s="1737">
        <v>49201317</v>
      </c>
      <c r="V55" s="1738">
        <v>1283722587</v>
      </c>
      <c r="W55" s="1737">
        <v>1089753062</v>
      </c>
      <c r="X55" s="1738">
        <v>1630422344</v>
      </c>
      <c r="Y55" s="1736">
        <v>1417610955</v>
      </c>
      <c r="Z55" s="1735">
        <v>93887215</v>
      </c>
      <c r="AA55" s="1736">
        <v>79193809</v>
      </c>
      <c r="AB55" s="1735">
        <v>149285638</v>
      </c>
      <c r="AC55" s="1737">
        <v>131050887</v>
      </c>
      <c r="AD55" s="1738">
        <v>315972087</v>
      </c>
      <c r="AE55" s="1736">
        <v>255189055</v>
      </c>
      <c r="AF55" s="1735">
        <v>648257146</v>
      </c>
      <c r="AG55" s="1736">
        <v>546955562</v>
      </c>
      <c r="AH55" s="1735">
        <v>219099136</v>
      </c>
      <c r="AI55" s="1737">
        <v>189274550</v>
      </c>
      <c r="AJ55" s="1738">
        <v>209537942</v>
      </c>
      <c r="AK55" s="1736">
        <v>197393243</v>
      </c>
      <c r="AL55" s="1735">
        <v>1487675676</v>
      </c>
      <c r="AM55" s="1736">
        <v>1219464352</v>
      </c>
      <c r="AN55" s="1735">
        <f>AN34</f>
        <v>1487675676</v>
      </c>
      <c r="AO55" s="1736">
        <f>AO34</f>
        <v>1219464352</v>
      </c>
      <c r="AP55" s="1735">
        <f aca="true" t="shared" si="13" ref="AP55:AU55">AP34</f>
        <v>45046204</v>
      </c>
      <c r="AQ55" s="1736">
        <f t="shared" si="13"/>
        <v>38219432</v>
      </c>
      <c r="AR55" s="1735">
        <f t="shared" si="13"/>
        <v>87719536</v>
      </c>
      <c r="AS55" s="1736">
        <f t="shared" si="13"/>
        <v>74740578</v>
      </c>
      <c r="AT55" s="1735">
        <f t="shared" si="13"/>
        <v>300784217</v>
      </c>
      <c r="AU55" s="1736">
        <f t="shared" si="13"/>
        <v>251938014</v>
      </c>
      <c r="AV55" s="1735">
        <f t="shared" si="0"/>
        <v>9665126488</v>
      </c>
      <c r="AW55" s="1736">
        <f t="shared" si="1"/>
        <v>8239347954</v>
      </c>
      <c r="AX55" s="1735">
        <v>31337772086</v>
      </c>
      <c r="AY55" s="1736">
        <v>28458828905</v>
      </c>
      <c r="AZ55" s="1735">
        <f t="shared" si="2"/>
        <v>41002898574</v>
      </c>
      <c r="BA55" s="1737">
        <f t="shared" si="3"/>
        <v>36698176859</v>
      </c>
    </row>
    <row r="56" spans="1:53" ht="16.5">
      <c r="A56" s="179" t="s">
        <v>496</v>
      </c>
      <c r="B56" s="767"/>
      <c r="C56" s="1722"/>
      <c r="D56" s="1720"/>
      <c r="E56" s="1722"/>
      <c r="F56" s="1720"/>
      <c r="G56" s="1722"/>
      <c r="H56" s="1720"/>
      <c r="I56" s="1722"/>
      <c r="J56" s="1720"/>
      <c r="K56" s="1722"/>
      <c r="L56" s="1720"/>
      <c r="M56" s="760"/>
      <c r="N56" s="767"/>
      <c r="O56" s="760"/>
      <c r="P56" s="767"/>
      <c r="Q56" s="760"/>
      <c r="R56" s="767"/>
      <c r="S56" s="760"/>
      <c r="T56" s="767"/>
      <c r="U56" s="760"/>
      <c r="V56" s="767"/>
      <c r="W56" s="760"/>
      <c r="X56" s="767">
        <v>8049054</v>
      </c>
      <c r="Y56" s="1722">
        <v>1979711</v>
      </c>
      <c r="Z56" s="1720"/>
      <c r="AA56" s="1722"/>
      <c r="AB56" s="1720"/>
      <c r="AC56" s="760"/>
      <c r="AD56" s="767"/>
      <c r="AE56" s="1722"/>
      <c r="AF56" s="1720"/>
      <c r="AG56" s="1722"/>
      <c r="AH56" s="1720"/>
      <c r="AI56" s="760"/>
      <c r="AJ56" s="767"/>
      <c r="AK56" s="1722"/>
      <c r="AL56" s="1720"/>
      <c r="AM56" s="1722"/>
      <c r="AN56" s="1720"/>
      <c r="AO56" s="1722"/>
      <c r="AP56" s="1720"/>
      <c r="AQ56" s="1722"/>
      <c r="AR56" s="1720"/>
      <c r="AS56" s="1722"/>
      <c r="AT56" s="1720"/>
      <c r="AU56" s="1722"/>
      <c r="AV56" s="1720">
        <f t="shared" si="0"/>
        <v>8049054</v>
      </c>
      <c r="AW56" s="1722">
        <f t="shared" si="1"/>
        <v>1979711</v>
      </c>
      <c r="AX56" s="1720"/>
      <c r="AY56" s="1722"/>
      <c r="AZ56" s="1720">
        <f t="shared" si="2"/>
        <v>8049054</v>
      </c>
      <c r="BA56" s="760">
        <f t="shared" si="3"/>
        <v>1979711</v>
      </c>
    </row>
    <row r="57" spans="1:53" ht="16.5">
      <c r="A57" s="179" t="s">
        <v>0</v>
      </c>
      <c r="B57" s="767"/>
      <c r="C57" s="1722"/>
      <c r="D57" s="1720"/>
      <c r="E57" s="1722"/>
      <c r="F57" s="1720"/>
      <c r="G57" s="1722"/>
      <c r="H57" s="1720"/>
      <c r="I57" s="1722"/>
      <c r="J57" s="1720"/>
      <c r="K57" s="1722"/>
      <c r="L57" s="1720"/>
      <c r="M57" s="760"/>
      <c r="N57" s="767"/>
      <c r="O57" s="760"/>
      <c r="P57" s="767"/>
      <c r="Q57" s="760"/>
      <c r="R57" s="767"/>
      <c r="S57" s="760"/>
      <c r="T57" s="767"/>
      <c r="U57" s="760"/>
      <c r="V57" s="767"/>
      <c r="W57" s="760"/>
      <c r="X57" s="767"/>
      <c r="Y57" s="1722"/>
      <c r="Z57" s="1720"/>
      <c r="AA57" s="1722"/>
      <c r="AB57" s="1720"/>
      <c r="AC57" s="760"/>
      <c r="AD57" s="767"/>
      <c r="AE57" s="1722"/>
      <c r="AF57" s="1720"/>
      <c r="AG57" s="1722"/>
      <c r="AH57" s="1720"/>
      <c r="AI57" s="760"/>
      <c r="AJ57" s="767"/>
      <c r="AK57" s="1722"/>
      <c r="AL57" s="1720"/>
      <c r="AM57" s="1722"/>
      <c r="AN57" s="1720"/>
      <c r="AO57" s="1722"/>
      <c r="AP57" s="1720"/>
      <c r="AQ57" s="1722"/>
      <c r="AR57" s="1720"/>
      <c r="AS57" s="1722"/>
      <c r="AT57" s="1720"/>
      <c r="AU57" s="1722"/>
      <c r="AV57" s="1720">
        <f t="shared" si="0"/>
        <v>0</v>
      </c>
      <c r="AW57" s="1722">
        <f t="shared" si="1"/>
        <v>0</v>
      </c>
      <c r="AX57" s="1720"/>
      <c r="AY57" s="1722"/>
      <c r="AZ57" s="1720">
        <f t="shared" si="2"/>
        <v>0</v>
      </c>
      <c r="BA57" s="760">
        <f t="shared" si="3"/>
        <v>0</v>
      </c>
    </row>
    <row r="58" spans="1:53" ht="16.5">
      <c r="A58" s="140" t="s">
        <v>497</v>
      </c>
      <c r="B58" s="767">
        <v>7317539</v>
      </c>
      <c r="C58" s="1722">
        <v>2524000</v>
      </c>
      <c r="D58" s="1720"/>
      <c r="E58" s="1722"/>
      <c r="F58" s="1720"/>
      <c r="G58" s="1722"/>
      <c r="H58" s="1720"/>
      <c r="I58" s="1722"/>
      <c r="J58" s="1720"/>
      <c r="K58" s="1722"/>
      <c r="L58" s="1720"/>
      <c r="M58" s="760"/>
      <c r="N58" s="767">
        <v>949</v>
      </c>
      <c r="O58" s="760"/>
      <c r="P58" s="767"/>
      <c r="Q58" s="760"/>
      <c r="R58" s="767"/>
      <c r="S58" s="760"/>
      <c r="T58" s="767"/>
      <c r="U58" s="760"/>
      <c r="V58" s="767">
        <v>14173536</v>
      </c>
      <c r="W58" s="760">
        <v>10448536</v>
      </c>
      <c r="X58" s="767">
        <v>6000000</v>
      </c>
      <c r="Y58" s="1722"/>
      <c r="Z58" s="1720"/>
      <c r="AA58" s="1722"/>
      <c r="AB58" s="1720"/>
      <c r="AC58" s="760"/>
      <c r="AD58" s="767">
        <v>3667155</v>
      </c>
      <c r="AE58" s="1722">
        <v>814688</v>
      </c>
      <c r="AF58" s="1720"/>
      <c r="AG58" s="1722"/>
      <c r="AH58" s="1720">
        <v>2350000</v>
      </c>
      <c r="AI58" s="760"/>
      <c r="AJ58" s="767">
        <v>325998</v>
      </c>
      <c r="AK58" s="1722">
        <v>445330</v>
      </c>
      <c r="AL58" s="1720">
        <v>7600000</v>
      </c>
      <c r="AM58" s="1722">
        <v>3550000</v>
      </c>
      <c r="AN58" s="1720">
        <v>7600000</v>
      </c>
      <c r="AO58" s="1722">
        <f>AN58</f>
        <v>7600000</v>
      </c>
      <c r="AP58" s="1720"/>
      <c r="AQ58" s="1722"/>
      <c r="AR58" s="1720"/>
      <c r="AS58" s="1722"/>
      <c r="AT58" s="1720"/>
      <c r="AU58" s="1722"/>
      <c r="AV58" s="1720">
        <f t="shared" si="0"/>
        <v>49035177</v>
      </c>
      <c r="AW58" s="1722">
        <f t="shared" si="1"/>
        <v>25382554</v>
      </c>
      <c r="AX58" s="1720">
        <v>2004</v>
      </c>
      <c r="AY58" s="1722">
        <v>2004</v>
      </c>
      <c r="AZ58" s="1720">
        <f t="shared" si="2"/>
        <v>49037181</v>
      </c>
      <c r="BA58" s="760">
        <f t="shared" si="3"/>
        <v>25384558</v>
      </c>
    </row>
    <row r="59" spans="1:53" ht="16.5">
      <c r="A59" s="140" t="s">
        <v>498</v>
      </c>
      <c r="B59" s="767">
        <v>22149</v>
      </c>
      <c r="C59" s="1722">
        <v>20612</v>
      </c>
      <c r="D59" s="1720"/>
      <c r="E59" s="1722"/>
      <c r="F59" s="1720">
        <v>11939</v>
      </c>
      <c r="G59" s="1722">
        <v>8854</v>
      </c>
      <c r="H59" s="1720"/>
      <c r="I59" s="1722">
        <v>50</v>
      </c>
      <c r="J59" s="1720"/>
      <c r="K59" s="1722"/>
      <c r="L59" s="1720"/>
      <c r="M59" s="760"/>
      <c r="N59" s="767">
        <v>1252</v>
      </c>
      <c r="O59" s="760">
        <v>3583</v>
      </c>
      <c r="P59" s="767"/>
      <c r="Q59" s="760"/>
      <c r="R59" s="767"/>
      <c r="S59" s="760"/>
      <c r="T59" s="767"/>
      <c r="U59" s="760"/>
      <c r="V59" s="767">
        <v>1523</v>
      </c>
      <c r="W59" s="760">
        <v>7240</v>
      </c>
      <c r="X59" s="767">
        <f>1034+43402+8082</f>
        <v>52518</v>
      </c>
      <c r="Y59" s="1722">
        <f>1066+40099+8929</f>
        <v>50094</v>
      </c>
      <c r="Z59" s="1720"/>
      <c r="AA59" s="1722"/>
      <c r="AB59" s="1720"/>
      <c r="AC59" s="760"/>
      <c r="AD59" s="767">
        <v>4113</v>
      </c>
      <c r="AE59" s="1722">
        <v>4281</v>
      </c>
      <c r="AF59" s="1720"/>
      <c r="AG59" s="1722"/>
      <c r="AH59" s="1720">
        <v>53162</v>
      </c>
      <c r="AI59" s="760">
        <v>74365</v>
      </c>
      <c r="AJ59" s="767">
        <v>9615</v>
      </c>
      <c r="AK59" s="1722">
        <v>9815</v>
      </c>
      <c r="AL59" s="1720">
        <v>10819</v>
      </c>
      <c r="AM59" s="1722">
        <v>11016</v>
      </c>
      <c r="AN59" s="1720">
        <v>10819</v>
      </c>
      <c r="AO59" s="1722">
        <v>11016</v>
      </c>
      <c r="AP59" s="1720"/>
      <c r="AQ59" s="1722"/>
      <c r="AR59" s="1720">
        <v>7160</v>
      </c>
      <c r="AS59" s="1722">
        <v>7000</v>
      </c>
      <c r="AT59" s="1720">
        <v>20580</v>
      </c>
      <c r="AU59" s="1722">
        <v>18038</v>
      </c>
      <c r="AV59" s="1720">
        <f t="shared" si="0"/>
        <v>205649</v>
      </c>
      <c r="AW59" s="1722">
        <f t="shared" si="1"/>
        <v>225964</v>
      </c>
      <c r="AX59" s="1720">
        <v>53033</v>
      </c>
      <c r="AY59" s="1722">
        <v>318878</v>
      </c>
      <c r="AZ59" s="1720">
        <f t="shared" si="2"/>
        <v>258682</v>
      </c>
      <c r="BA59" s="760">
        <f t="shared" si="3"/>
        <v>544842</v>
      </c>
    </row>
    <row r="60" spans="1:53" ht="16.5">
      <c r="A60" s="140" t="s">
        <v>499</v>
      </c>
      <c r="B60" s="767"/>
      <c r="C60" s="1722"/>
      <c r="D60" s="1720"/>
      <c r="E60" s="1722"/>
      <c r="F60" s="1720"/>
      <c r="G60" s="1722"/>
      <c r="H60" s="1720"/>
      <c r="I60" s="1722"/>
      <c r="J60" s="1720"/>
      <c r="K60" s="1722"/>
      <c r="L60" s="1720"/>
      <c r="M60" s="760"/>
      <c r="N60" s="767"/>
      <c r="O60" s="760"/>
      <c r="P60" s="767"/>
      <c r="Q60" s="760"/>
      <c r="R60" s="767"/>
      <c r="S60" s="760"/>
      <c r="T60" s="767"/>
      <c r="U60" s="760"/>
      <c r="V60" s="767"/>
      <c r="W60" s="760"/>
      <c r="X60" s="767"/>
      <c r="Y60" s="1722"/>
      <c r="Z60" s="1720"/>
      <c r="AA60" s="1722"/>
      <c r="AB60" s="1720"/>
      <c r="AC60" s="760"/>
      <c r="AD60" s="767"/>
      <c r="AE60" s="1722"/>
      <c r="AF60" s="1720"/>
      <c r="AG60" s="1722"/>
      <c r="AH60" s="1720"/>
      <c r="AI60" s="760"/>
      <c r="AJ60" s="767"/>
      <c r="AK60" s="1722"/>
      <c r="AL60" s="1720"/>
      <c r="AM60" s="1722"/>
      <c r="AN60" s="1720"/>
      <c r="AO60" s="1722"/>
      <c r="AP60" s="1720"/>
      <c r="AQ60" s="1722"/>
      <c r="AR60" s="1720"/>
      <c r="AS60" s="1722"/>
      <c r="AT60" s="1720"/>
      <c r="AU60" s="1722"/>
      <c r="AV60" s="1720">
        <f t="shared" si="0"/>
        <v>0</v>
      </c>
      <c r="AW60" s="1722">
        <f t="shared" si="1"/>
        <v>0</v>
      </c>
      <c r="AX60" s="1720"/>
      <c r="AY60" s="1722"/>
      <c r="AZ60" s="1720">
        <f t="shared" si="2"/>
        <v>0</v>
      </c>
      <c r="BA60" s="760">
        <f t="shared" si="3"/>
        <v>0</v>
      </c>
    </row>
    <row r="61" spans="1:53" ht="16.5">
      <c r="A61" s="140" t="s">
        <v>500</v>
      </c>
      <c r="B61" s="767">
        <v>2500</v>
      </c>
      <c r="C61" s="1722"/>
      <c r="D61" s="1720">
        <v>2500</v>
      </c>
      <c r="E61" s="1722">
        <v>2500</v>
      </c>
      <c r="F61" s="1720"/>
      <c r="G61" s="1722"/>
      <c r="H61" s="1720"/>
      <c r="I61" s="1722"/>
      <c r="J61" s="1720"/>
      <c r="K61" s="1722"/>
      <c r="L61" s="1720"/>
      <c r="M61" s="760"/>
      <c r="N61" s="767"/>
      <c r="O61" s="760"/>
      <c r="P61" s="767"/>
      <c r="Q61" s="760"/>
      <c r="R61" s="767"/>
      <c r="S61" s="760"/>
      <c r="T61" s="767"/>
      <c r="U61" s="760"/>
      <c r="V61" s="767">
        <v>3437</v>
      </c>
      <c r="W61" s="760">
        <v>3432</v>
      </c>
      <c r="X61" s="767"/>
      <c r="Y61" s="1722"/>
      <c r="Z61" s="1720"/>
      <c r="AA61" s="1722"/>
      <c r="AB61" s="1720"/>
      <c r="AC61" s="760"/>
      <c r="AD61" s="767">
        <v>4358</v>
      </c>
      <c r="AE61" s="1722">
        <v>4358</v>
      </c>
      <c r="AF61" s="1720"/>
      <c r="AG61" s="1722"/>
      <c r="AH61" s="1720">
        <v>2500</v>
      </c>
      <c r="AI61" s="760">
        <v>2500</v>
      </c>
      <c r="AJ61" s="767">
        <v>993</v>
      </c>
      <c r="AK61" s="1722">
        <v>986</v>
      </c>
      <c r="AL61" s="1720"/>
      <c r="AM61" s="1722"/>
      <c r="AN61" s="1720"/>
      <c r="AO61" s="1722"/>
      <c r="AP61" s="1720"/>
      <c r="AQ61" s="1722"/>
      <c r="AR61" s="1720"/>
      <c r="AS61" s="1722"/>
      <c r="AT61" s="1720">
        <v>8210</v>
      </c>
      <c r="AU61" s="1722">
        <v>9201</v>
      </c>
      <c r="AV61" s="1720">
        <f t="shared" si="0"/>
        <v>24498</v>
      </c>
      <c r="AW61" s="1722">
        <f t="shared" si="1"/>
        <v>22977</v>
      </c>
      <c r="AX61" s="1720"/>
      <c r="AY61" s="1722"/>
      <c r="AZ61" s="1720">
        <f t="shared" si="2"/>
        <v>24498</v>
      </c>
      <c r="BA61" s="760">
        <f t="shared" si="3"/>
        <v>22977</v>
      </c>
    </row>
    <row r="62" spans="1:53" ht="16.5">
      <c r="A62" s="140" t="s">
        <v>519</v>
      </c>
      <c r="B62" s="767"/>
      <c r="C62" s="1722"/>
      <c r="D62" s="1720">
        <v>82052</v>
      </c>
      <c r="E62" s="1722">
        <v>94724</v>
      </c>
      <c r="F62" s="1720"/>
      <c r="G62" s="1722"/>
      <c r="H62" s="1720">
        <v>87126</v>
      </c>
      <c r="I62" s="1722">
        <v>757401</v>
      </c>
      <c r="J62" s="1720"/>
      <c r="K62" s="1722"/>
      <c r="L62" s="1720">
        <v>1925</v>
      </c>
      <c r="M62" s="760">
        <v>1925</v>
      </c>
      <c r="N62" s="767">
        <v>105721</v>
      </c>
      <c r="O62" s="760">
        <v>40316</v>
      </c>
      <c r="P62" s="767">
        <v>35660</v>
      </c>
      <c r="Q62" s="760">
        <v>183242</v>
      </c>
      <c r="R62" s="767">
        <v>2876459</v>
      </c>
      <c r="S62" s="760">
        <v>2997954</v>
      </c>
      <c r="T62" s="767">
        <v>48114</v>
      </c>
      <c r="U62" s="760">
        <v>49765</v>
      </c>
      <c r="V62" s="767">
        <v>966503</v>
      </c>
      <c r="W62" s="760">
        <v>1019206</v>
      </c>
      <c r="X62" s="767">
        <v>4536996</v>
      </c>
      <c r="Y62" s="1722">
        <v>1536996</v>
      </c>
      <c r="Z62" s="1720">
        <v>511689</v>
      </c>
      <c r="AA62" s="1722">
        <v>324404</v>
      </c>
      <c r="AB62" s="1720">
        <v>451179</v>
      </c>
      <c r="AC62" s="760">
        <v>284729</v>
      </c>
      <c r="AD62" s="767">
        <v>1422013</v>
      </c>
      <c r="AE62" s="1722">
        <v>3360625</v>
      </c>
      <c r="AF62" s="1720"/>
      <c r="AG62" s="1722"/>
      <c r="AH62" s="1720">
        <v>3339267</v>
      </c>
      <c r="AI62" s="760">
        <v>1566348</v>
      </c>
      <c r="AJ62" s="767">
        <v>1731287</v>
      </c>
      <c r="AK62" s="1722">
        <v>1499442</v>
      </c>
      <c r="AL62" s="1720"/>
      <c r="AM62" s="1722"/>
      <c r="AN62" s="1720"/>
      <c r="AO62" s="1722"/>
      <c r="AP62" s="1720"/>
      <c r="AQ62" s="1722">
        <v>496695</v>
      </c>
      <c r="AR62" s="1720">
        <v>764665</v>
      </c>
      <c r="AS62" s="1722">
        <v>105965</v>
      </c>
      <c r="AT62" s="1720"/>
      <c r="AU62" s="1722"/>
      <c r="AV62" s="1720">
        <f t="shared" si="0"/>
        <v>16960656</v>
      </c>
      <c r="AW62" s="1722">
        <f t="shared" si="1"/>
        <v>14319737</v>
      </c>
      <c r="AX62" s="1720">
        <v>190850146</v>
      </c>
      <c r="AY62" s="1722">
        <v>45670915</v>
      </c>
      <c r="AZ62" s="1720">
        <f t="shared" si="2"/>
        <v>207810802</v>
      </c>
      <c r="BA62" s="760">
        <f t="shared" si="3"/>
        <v>59990652</v>
      </c>
    </row>
    <row r="63" spans="1:53" ht="16.5">
      <c r="A63" s="140" t="s">
        <v>501</v>
      </c>
      <c r="B63" s="767"/>
      <c r="C63" s="1722"/>
      <c r="D63" s="1720"/>
      <c r="E63" s="1722"/>
      <c r="F63" s="1720"/>
      <c r="G63" s="1722"/>
      <c r="H63" s="1720"/>
      <c r="I63" s="1722"/>
      <c r="J63" s="1720"/>
      <c r="K63" s="1722"/>
      <c r="L63" s="1720">
        <v>1376016</v>
      </c>
      <c r="M63" s="760">
        <v>1297835</v>
      </c>
      <c r="N63" s="767"/>
      <c r="O63" s="760"/>
      <c r="P63" s="767"/>
      <c r="Q63" s="760"/>
      <c r="R63" s="767"/>
      <c r="S63" s="760"/>
      <c r="T63" s="767"/>
      <c r="U63" s="760"/>
      <c r="V63" s="767"/>
      <c r="W63" s="760"/>
      <c r="X63" s="767"/>
      <c r="Y63" s="1722"/>
      <c r="Z63" s="1720"/>
      <c r="AA63" s="1722"/>
      <c r="AB63" s="1720"/>
      <c r="AC63" s="760"/>
      <c r="AD63" s="767"/>
      <c r="AE63" s="1722"/>
      <c r="AF63" s="1720"/>
      <c r="AG63" s="1722"/>
      <c r="AH63" s="1720"/>
      <c r="AI63" s="760"/>
      <c r="AJ63" s="767"/>
      <c r="AK63" s="1722"/>
      <c r="AL63" s="1720"/>
      <c r="AM63" s="1722"/>
      <c r="AN63" s="1720"/>
      <c r="AO63" s="1722"/>
      <c r="AP63" s="1720"/>
      <c r="AQ63" s="1722"/>
      <c r="AR63" s="1720"/>
      <c r="AS63" s="1722"/>
      <c r="AT63" s="1720"/>
      <c r="AU63" s="1722"/>
      <c r="AV63" s="1720">
        <f t="shared" si="0"/>
        <v>1376016</v>
      </c>
      <c r="AW63" s="1722">
        <f t="shared" si="1"/>
        <v>1297835</v>
      </c>
      <c r="AX63" s="1720"/>
      <c r="AY63" s="1722"/>
      <c r="AZ63" s="1720">
        <f t="shared" si="2"/>
        <v>1376016</v>
      </c>
      <c r="BA63" s="760">
        <f t="shared" si="3"/>
        <v>1297835</v>
      </c>
    </row>
    <row r="64" spans="1:53" ht="16.5">
      <c r="A64" s="140" t="s">
        <v>518</v>
      </c>
      <c r="B64" s="767"/>
      <c r="C64" s="1722"/>
      <c r="D64" s="1720">
        <v>62541</v>
      </c>
      <c r="E64" s="1722">
        <v>54291</v>
      </c>
      <c r="F64" s="1720">
        <v>305630</v>
      </c>
      <c r="G64" s="1722">
        <v>243338</v>
      </c>
      <c r="H64" s="1720">
        <v>469237</v>
      </c>
      <c r="I64" s="1722">
        <v>433110</v>
      </c>
      <c r="J64" s="1720"/>
      <c r="K64" s="1722"/>
      <c r="L64" s="1720">
        <v>188038</v>
      </c>
      <c r="M64" s="760">
        <v>96906</v>
      </c>
      <c r="N64" s="767"/>
      <c r="O64" s="760"/>
      <c r="P64" s="767"/>
      <c r="Q64" s="760"/>
      <c r="R64" s="767"/>
      <c r="S64" s="760"/>
      <c r="T64" s="767">
        <v>6049</v>
      </c>
      <c r="U64" s="760">
        <v>18784</v>
      </c>
      <c r="V64" s="767"/>
      <c r="W64" s="760"/>
      <c r="X64" s="767">
        <f>73767+385773</f>
        <v>459540</v>
      </c>
      <c r="Y64" s="1722">
        <f>89922+302699</f>
        <v>392621</v>
      </c>
      <c r="Z64" s="1720"/>
      <c r="AA64" s="1722"/>
      <c r="AB64" s="1720">
        <v>339960</v>
      </c>
      <c r="AC64" s="760">
        <v>301039</v>
      </c>
      <c r="AD64" s="767"/>
      <c r="AE64" s="1722"/>
      <c r="AF64" s="1720"/>
      <c r="AG64" s="1722"/>
      <c r="AH64" s="1720"/>
      <c r="AI64" s="760"/>
      <c r="AJ64" s="767"/>
      <c r="AK64" s="1722"/>
      <c r="AL64" s="1720"/>
      <c r="AM64" s="1722"/>
      <c r="AN64" s="1720"/>
      <c r="AO64" s="1722"/>
      <c r="AP64" s="1720"/>
      <c r="AQ64" s="1722"/>
      <c r="AR64" s="1720"/>
      <c r="AS64" s="1722"/>
      <c r="AT64" s="1720"/>
      <c r="AU64" s="1722"/>
      <c r="AV64" s="1720">
        <f t="shared" si="0"/>
        <v>1830995</v>
      </c>
      <c r="AW64" s="1722">
        <f t="shared" si="1"/>
        <v>1540089</v>
      </c>
      <c r="AX64" s="1720"/>
      <c r="AY64" s="1722"/>
      <c r="AZ64" s="1720">
        <f t="shared" si="2"/>
        <v>1830995</v>
      </c>
      <c r="BA64" s="760">
        <f t="shared" si="3"/>
        <v>1540089</v>
      </c>
    </row>
    <row r="65" spans="1:53" ht="16.5">
      <c r="A65" s="140" t="s">
        <v>75</v>
      </c>
      <c r="B65" s="767">
        <v>427972</v>
      </c>
      <c r="C65" s="1722">
        <v>238743</v>
      </c>
      <c r="D65" s="1720">
        <v>1928</v>
      </c>
      <c r="E65" s="1722">
        <v>1928</v>
      </c>
      <c r="F65" s="1720"/>
      <c r="G65" s="1722"/>
      <c r="H65" s="1720">
        <v>78215</v>
      </c>
      <c r="I65" s="1722">
        <v>47358</v>
      </c>
      <c r="J65" s="1720"/>
      <c r="K65" s="1722"/>
      <c r="L65" s="1720"/>
      <c r="M65" s="760"/>
      <c r="N65" s="767">
        <f>123247+8115</f>
        <v>131362</v>
      </c>
      <c r="O65" s="760">
        <f>8115+77516</f>
        <v>85631</v>
      </c>
      <c r="P65" s="767">
        <v>8864</v>
      </c>
      <c r="Q65" s="760">
        <v>6229</v>
      </c>
      <c r="R65" s="767">
        <f>245130+583767</f>
        <v>828897</v>
      </c>
      <c r="S65" s="760">
        <f>204764+482329</f>
        <v>687093</v>
      </c>
      <c r="T65" s="767"/>
      <c r="U65" s="760"/>
      <c r="V65" s="767">
        <v>347688</v>
      </c>
      <c r="W65" s="760"/>
      <c r="X65" s="767"/>
      <c r="Y65" s="1722"/>
      <c r="Z65" s="1720">
        <v>127250</v>
      </c>
      <c r="AA65" s="1722">
        <v>103951</v>
      </c>
      <c r="AB65" s="1720"/>
      <c r="AC65" s="760"/>
      <c r="AD65" s="767">
        <v>137037</v>
      </c>
      <c r="AE65" s="1722">
        <v>109347</v>
      </c>
      <c r="AF65" s="1720"/>
      <c r="AG65" s="1722"/>
      <c r="AH65" s="1720">
        <v>376858</v>
      </c>
      <c r="AI65" s="760">
        <v>349100</v>
      </c>
      <c r="AJ65" s="767">
        <v>314252</v>
      </c>
      <c r="AK65" s="1722">
        <v>360632</v>
      </c>
      <c r="AL65" s="1720">
        <f>1073512+3741657</f>
        <v>4815169</v>
      </c>
      <c r="AM65" s="1722">
        <f>887634+3667879</f>
        <v>4555513</v>
      </c>
      <c r="AN65" s="1720">
        <f>1073512+3741657</f>
        <v>4815169</v>
      </c>
      <c r="AO65" s="1722">
        <f>887634+3667879</f>
        <v>4555513</v>
      </c>
      <c r="AP65" s="1720">
        <v>31265</v>
      </c>
      <c r="AQ65" s="1722">
        <v>46789</v>
      </c>
      <c r="AR65" s="1720">
        <f>101984+25308</f>
        <v>127292</v>
      </c>
      <c r="AS65" s="1722">
        <f>59077+16267</f>
        <v>75344</v>
      </c>
      <c r="AT65" s="1720">
        <f>1669+33283+99073</f>
        <v>134025</v>
      </c>
      <c r="AU65" s="1722">
        <f>3232+37251+94380</f>
        <v>134863</v>
      </c>
      <c r="AV65" s="1720">
        <f t="shared" si="0"/>
        <v>12703243</v>
      </c>
      <c r="AW65" s="1722">
        <f t="shared" si="1"/>
        <v>11358034</v>
      </c>
      <c r="AX65" s="1720">
        <v>4360072</v>
      </c>
      <c r="AY65" s="1722">
        <v>2919620</v>
      </c>
      <c r="AZ65" s="1720">
        <f t="shared" si="2"/>
        <v>17063315</v>
      </c>
      <c r="BA65" s="760">
        <f t="shared" si="3"/>
        <v>14277654</v>
      </c>
    </row>
    <row r="66" spans="1:53" s="1730" customFormat="1" ht="18.75" thickBot="1">
      <c r="A66" s="1725" t="s">
        <v>54</v>
      </c>
      <c r="B66" s="1726"/>
      <c r="C66" s="1727"/>
      <c r="D66" s="1728">
        <v>149021</v>
      </c>
      <c r="E66" s="1727">
        <v>153443</v>
      </c>
      <c r="F66" s="1728"/>
      <c r="G66" s="1727"/>
      <c r="H66" s="1728">
        <v>634578</v>
      </c>
      <c r="I66" s="1727">
        <v>1237919</v>
      </c>
      <c r="J66" s="1728"/>
      <c r="K66" s="1727"/>
      <c r="L66" s="1728">
        <v>1565979</v>
      </c>
      <c r="M66" s="1729">
        <v>1396666</v>
      </c>
      <c r="N66" s="1726">
        <v>239284</v>
      </c>
      <c r="O66" s="1729">
        <v>129530</v>
      </c>
      <c r="P66" s="1726"/>
      <c r="Q66" s="1729"/>
      <c r="R66" s="1726">
        <v>3705356</v>
      </c>
      <c r="S66" s="1729">
        <v>3685047</v>
      </c>
      <c r="T66" s="1726">
        <v>54163</v>
      </c>
      <c r="U66" s="1729">
        <v>68784</v>
      </c>
      <c r="V66" s="1726">
        <v>15492667</v>
      </c>
      <c r="W66" s="1729">
        <v>11478414</v>
      </c>
      <c r="X66" s="1726">
        <v>8049054</v>
      </c>
      <c r="Y66" s="1727">
        <v>1979711</v>
      </c>
      <c r="Z66" s="1728">
        <v>638939</v>
      </c>
      <c r="AA66" s="1727">
        <v>428355</v>
      </c>
      <c r="AB66" s="1728"/>
      <c r="AC66" s="1729"/>
      <c r="AD66" s="1726">
        <v>5234676</v>
      </c>
      <c r="AE66" s="1727">
        <v>4293300</v>
      </c>
      <c r="AF66" s="1728"/>
      <c r="AG66" s="1727"/>
      <c r="AH66" s="1728">
        <v>6121787</v>
      </c>
      <c r="AI66" s="1729">
        <v>1992313</v>
      </c>
      <c r="AJ66" s="1726">
        <v>2382145</v>
      </c>
      <c r="AK66" s="1727">
        <v>2316205</v>
      </c>
      <c r="AL66" s="1728">
        <v>12425988</v>
      </c>
      <c r="AM66" s="1727">
        <v>8116529</v>
      </c>
      <c r="AN66" s="1728">
        <v>12425988</v>
      </c>
      <c r="AO66" s="1727">
        <v>8116529</v>
      </c>
      <c r="AP66" s="1728">
        <v>31265</v>
      </c>
      <c r="AQ66" s="1727">
        <v>543484</v>
      </c>
      <c r="AR66" s="1728"/>
      <c r="AS66" s="1727"/>
      <c r="AT66" s="1728">
        <v>162815</v>
      </c>
      <c r="AU66" s="1727">
        <v>162102</v>
      </c>
      <c r="AV66" s="1728">
        <f t="shared" si="0"/>
        <v>69313705</v>
      </c>
      <c r="AW66" s="1727">
        <f t="shared" si="1"/>
        <v>46098331</v>
      </c>
      <c r="AX66" s="1728">
        <v>195265255</v>
      </c>
      <c r="AY66" s="1727">
        <v>48911417</v>
      </c>
      <c r="AZ66" s="1728">
        <f t="shared" si="2"/>
        <v>264578960</v>
      </c>
      <c r="BA66" s="1729">
        <f t="shared" si="3"/>
        <v>95009748</v>
      </c>
    </row>
  </sheetData>
  <sheetProtection/>
  <mergeCells count="26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X1:AY1"/>
    <mergeCell ref="AZ1:BA1"/>
    <mergeCell ref="AL1:AM1"/>
    <mergeCell ref="AN1:AO1"/>
    <mergeCell ref="AP1:AQ1"/>
    <mergeCell ref="AR1:AS1"/>
    <mergeCell ref="AT1:AU1"/>
    <mergeCell ref="AV1:AW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A14"/>
  <sheetViews>
    <sheetView zoomScalePageLayoutView="0" workbookViewId="0" topLeftCell="A1">
      <pane xSplit="1" topLeftCell="BM1" activePane="topRight" state="frozen"/>
      <selection pane="topLeft" activeCell="A1" sqref="A1"/>
      <selection pane="topRight" activeCell="BQ18" sqref="BQ18"/>
    </sheetView>
  </sheetViews>
  <sheetFormatPr defaultColWidth="9.140625" defaultRowHeight="15"/>
  <cols>
    <col min="1" max="1" width="22.8515625" style="0" customWidth="1"/>
    <col min="2" max="2" width="11.7109375" style="0" bestFit="1" customWidth="1"/>
    <col min="3" max="3" width="11.421875" style="0" bestFit="1" customWidth="1"/>
    <col min="4" max="4" width="12.421875" style="0" bestFit="1" customWidth="1"/>
    <col min="5" max="5" width="13.28125" style="0" bestFit="1" customWidth="1"/>
    <col min="6" max="7" width="11.7109375" style="0" bestFit="1" customWidth="1"/>
    <col min="8" max="9" width="12.8515625" style="0" bestFit="1" customWidth="1"/>
    <col min="10" max="11" width="11.421875" style="0" bestFit="1" customWidth="1"/>
    <col min="12" max="12" width="12.421875" style="0" bestFit="1" customWidth="1"/>
    <col min="13" max="13" width="13.28125" style="0" bestFit="1" customWidth="1"/>
    <col min="14" max="15" width="11.421875" style="0" bestFit="1" customWidth="1"/>
    <col min="16" max="16" width="12.421875" style="0" bestFit="1" customWidth="1"/>
    <col min="17" max="17" width="13.28125" style="0" bestFit="1" customWidth="1"/>
    <col min="18" max="19" width="11.421875" style="0" bestFit="1" customWidth="1"/>
    <col min="20" max="20" width="12.421875" style="0" bestFit="1" customWidth="1"/>
    <col min="21" max="21" width="13.28125" style="0" bestFit="1" customWidth="1"/>
    <col min="22" max="23" width="11.421875" style="0" bestFit="1" customWidth="1"/>
    <col min="24" max="24" width="12.421875" style="0" bestFit="1" customWidth="1"/>
    <col min="25" max="25" width="13.28125" style="0" bestFit="1" customWidth="1"/>
    <col min="26" max="27" width="11.421875" style="0" bestFit="1" customWidth="1"/>
    <col min="28" max="28" width="12.421875" style="0" bestFit="1" customWidth="1"/>
    <col min="29" max="29" width="13.28125" style="0" bestFit="1" customWidth="1"/>
    <col min="30" max="31" width="11.421875" style="0" bestFit="1" customWidth="1"/>
    <col min="32" max="32" width="12.421875" style="0" bestFit="1" customWidth="1"/>
    <col min="33" max="33" width="13.28125" style="0" bestFit="1" customWidth="1"/>
    <col min="34" max="35" width="11.7109375" style="0" bestFit="1" customWidth="1"/>
    <col min="36" max="36" width="12.8515625" style="0" bestFit="1" customWidth="1"/>
    <col min="37" max="37" width="13.28125" style="0" bestFit="1" customWidth="1"/>
    <col min="38" max="39" width="11.7109375" style="0" bestFit="1" customWidth="1"/>
    <col min="40" max="40" width="12.8515625" style="0" bestFit="1" customWidth="1"/>
    <col min="41" max="41" width="13.28125" style="0" bestFit="1" customWidth="1"/>
    <col min="42" max="43" width="11.421875" style="0" bestFit="1" customWidth="1"/>
    <col min="44" max="44" width="12.421875" style="0" bestFit="1" customWidth="1"/>
    <col min="45" max="45" width="13.28125" style="0" bestFit="1" customWidth="1"/>
    <col min="46" max="47" width="11.421875" style="0" bestFit="1" customWidth="1"/>
    <col min="48" max="48" width="12.421875" style="0" bestFit="1" customWidth="1"/>
    <col min="49" max="49" width="13.28125" style="0" customWidth="1"/>
    <col min="50" max="51" width="11.421875" style="0" bestFit="1" customWidth="1"/>
    <col min="52" max="52" width="12.421875" style="0" bestFit="1" customWidth="1"/>
    <col min="53" max="53" width="13.28125" style="0" bestFit="1" customWidth="1"/>
    <col min="54" max="55" width="11.421875" style="0" bestFit="1" customWidth="1"/>
    <col min="56" max="56" width="12.421875" style="0" bestFit="1" customWidth="1"/>
    <col min="57" max="57" width="13.28125" style="0" bestFit="1" customWidth="1"/>
    <col min="58" max="59" width="11.421875" style="0" bestFit="1" customWidth="1"/>
    <col min="60" max="60" width="12.421875" style="0" bestFit="1" customWidth="1"/>
    <col min="61" max="61" width="13.28125" style="0" bestFit="1" customWidth="1"/>
    <col min="62" max="63" width="11.421875" style="0" bestFit="1" customWidth="1"/>
    <col min="64" max="64" width="12.421875" style="0" bestFit="1" customWidth="1"/>
    <col min="65" max="65" width="13.28125" style="0" bestFit="1" customWidth="1"/>
    <col min="66" max="67" width="11.421875" style="0" customWidth="1"/>
    <col min="68" max="68" width="12.421875" style="0" bestFit="1" customWidth="1"/>
    <col min="69" max="69" width="13.28125" style="0" bestFit="1" customWidth="1"/>
    <col min="70" max="71" width="11.421875" style="0" bestFit="1" customWidth="1"/>
    <col min="72" max="72" width="12.421875" style="0" bestFit="1" customWidth="1"/>
    <col min="73" max="73" width="13.28125" style="0" bestFit="1" customWidth="1"/>
    <col min="74" max="75" width="11.421875" style="0" bestFit="1" customWidth="1"/>
    <col min="76" max="76" width="12.421875" style="0" bestFit="1" customWidth="1"/>
    <col min="77" max="77" width="13.28125" style="0" bestFit="1" customWidth="1"/>
    <col min="78" max="79" width="11.421875" style="0" customWidth="1"/>
    <col min="80" max="80" width="12.421875" style="0" bestFit="1" customWidth="1"/>
    <col min="81" max="81" width="13.28125" style="0" bestFit="1" customWidth="1"/>
    <col min="82" max="83" width="11.421875" style="0" bestFit="1" customWidth="1"/>
    <col min="84" max="84" width="12.421875" style="0" bestFit="1" customWidth="1"/>
    <col min="85" max="85" width="13.28125" style="0" bestFit="1" customWidth="1"/>
    <col min="86" max="87" width="11.421875" style="0" bestFit="1" customWidth="1"/>
    <col min="88" max="88" width="12.421875" style="0" bestFit="1" customWidth="1"/>
    <col min="89" max="89" width="13.28125" style="0" bestFit="1" customWidth="1"/>
    <col min="90" max="90" width="11.7109375" style="0" bestFit="1" customWidth="1"/>
    <col min="91" max="91" width="11.421875" style="0" bestFit="1" customWidth="1"/>
    <col min="92" max="92" width="12.8515625" style="0" bestFit="1" customWidth="1"/>
    <col min="93" max="93" width="11.28125" style="0" customWidth="1"/>
    <col min="94" max="94" width="12.8515625" style="0" customWidth="1"/>
    <col min="95" max="96" width="12.8515625" style="0" bestFit="1" customWidth="1"/>
    <col min="97" max="97" width="13.57421875" style="0" bestFit="1" customWidth="1"/>
    <col min="98" max="98" width="12.8515625" style="0" customWidth="1"/>
    <col min="99" max="99" width="11.421875" style="0" bestFit="1" customWidth="1"/>
    <col min="100" max="100" width="12.421875" style="0" bestFit="1" customWidth="1"/>
    <col min="101" max="101" width="13.28125" style="0" bestFit="1" customWidth="1"/>
    <col min="102" max="102" width="11.421875" style="0" bestFit="1" customWidth="1"/>
    <col min="103" max="103" width="13.140625" style="0" customWidth="1"/>
    <col min="104" max="104" width="12.8515625" style="0" bestFit="1" customWidth="1"/>
    <col min="105" max="105" width="13.140625" style="0" customWidth="1"/>
    <col min="106" max="106" width="10.7109375" style="0" customWidth="1"/>
    <col min="107" max="107" width="12.00390625" style="0" customWidth="1"/>
  </cols>
  <sheetData>
    <row r="1" spans="1:103" s="139" customFormat="1" ht="18">
      <c r="A1" s="1878" t="s">
        <v>58</v>
      </c>
      <c r="B1" s="1878"/>
      <c r="C1" s="1878"/>
      <c r="D1" s="1878"/>
      <c r="E1" s="1878"/>
      <c r="F1" s="1878"/>
      <c r="G1" s="1878"/>
      <c r="H1" s="1878"/>
      <c r="I1" s="1878"/>
      <c r="J1" s="1878"/>
      <c r="K1" s="1878"/>
      <c r="L1" s="1878"/>
      <c r="M1" s="1878"/>
      <c r="N1" s="1878"/>
      <c r="O1" s="1878"/>
      <c r="P1" s="1878"/>
      <c r="Q1" s="1878"/>
      <c r="R1" s="1878"/>
      <c r="S1" s="1878"/>
      <c r="T1" s="1878"/>
      <c r="U1" s="1878"/>
      <c r="V1" s="1878"/>
      <c r="W1" s="1878"/>
      <c r="X1" s="1878"/>
      <c r="Y1" s="1878"/>
      <c r="Z1" s="1878"/>
      <c r="AA1" s="1878"/>
      <c r="AB1" s="1878"/>
      <c r="AC1" s="1878"/>
      <c r="AD1" s="1878"/>
      <c r="AE1" s="1878"/>
      <c r="AF1" s="1878"/>
      <c r="AG1" s="1878"/>
      <c r="AH1" s="1878"/>
      <c r="AI1" s="1878"/>
      <c r="AJ1" s="1878"/>
      <c r="AK1" s="1878"/>
      <c r="AL1" s="1878"/>
      <c r="AM1" s="1878"/>
      <c r="AN1" s="1878"/>
      <c r="AO1" s="1878"/>
      <c r="AP1" s="1878"/>
      <c r="AQ1" s="1878"/>
      <c r="AR1" s="1878"/>
      <c r="AS1" s="1878"/>
      <c r="AT1" s="1878"/>
      <c r="AU1" s="1878"/>
      <c r="AV1" s="1878"/>
      <c r="AW1" s="1878"/>
      <c r="AX1" s="1878"/>
      <c r="AY1" s="1878"/>
      <c r="AZ1" s="1878"/>
      <c r="BA1" s="1878"/>
      <c r="BB1" s="1878"/>
      <c r="BC1" s="1878"/>
      <c r="BD1" s="1878"/>
      <c r="BE1" s="1878"/>
      <c r="BF1" s="1878"/>
      <c r="BG1" s="1878"/>
      <c r="BH1" s="1878"/>
      <c r="BI1" s="1878"/>
      <c r="BJ1" s="1878"/>
      <c r="BK1" s="1878"/>
      <c r="BL1" s="1878"/>
      <c r="BM1" s="1878"/>
      <c r="BN1" s="1878"/>
      <c r="BO1" s="1878"/>
      <c r="BP1" s="1878"/>
      <c r="BQ1" s="1878"/>
      <c r="BR1" s="1878"/>
      <c r="BS1" s="1878"/>
      <c r="BT1" s="1878"/>
      <c r="BU1" s="1878"/>
      <c r="BV1" s="1878"/>
      <c r="BW1" s="1878"/>
      <c r="BX1" s="1878"/>
      <c r="BY1" s="1878"/>
      <c r="BZ1" s="1878"/>
      <c r="CA1" s="1878"/>
      <c r="CB1" s="1878"/>
      <c r="CC1" s="1878"/>
      <c r="CD1" s="1878"/>
      <c r="CE1" s="1878"/>
      <c r="CF1" s="1878"/>
      <c r="CG1" s="1878"/>
      <c r="CH1" s="1878"/>
      <c r="CI1" s="1878"/>
      <c r="CJ1" s="1878"/>
      <c r="CK1" s="1878"/>
      <c r="CL1" s="1878"/>
      <c r="CM1" s="1878"/>
      <c r="CN1" s="1878"/>
      <c r="CO1" s="1878"/>
      <c r="CP1" s="1878"/>
      <c r="CQ1" s="1878"/>
      <c r="CR1" s="1878"/>
      <c r="CS1" s="1878"/>
      <c r="CT1" s="1878"/>
      <c r="CU1" s="1878"/>
      <c r="CV1" s="1878"/>
      <c r="CW1" s="1878"/>
      <c r="CX1" s="1878"/>
      <c r="CY1" s="1878"/>
    </row>
    <row r="2" spans="1:103" s="831" customFormat="1" ht="17.25" thickBot="1">
      <c r="A2" s="1917" t="s">
        <v>59</v>
      </c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X2" s="1917"/>
      <c r="Y2" s="1917"/>
      <c r="Z2" s="1917"/>
      <c r="AA2" s="1917"/>
      <c r="AB2" s="1917"/>
      <c r="AC2" s="1917"/>
      <c r="AD2" s="1917"/>
      <c r="AE2" s="1917"/>
      <c r="AF2" s="1917"/>
      <c r="AG2" s="1917"/>
      <c r="AH2" s="1917"/>
      <c r="AI2" s="1917"/>
      <c r="AJ2" s="1917"/>
      <c r="AK2" s="1917"/>
      <c r="AL2" s="1917"/>
      <c r="AM2" s="1917"/>
      <c r="AN2" s="1917"/>
      <c r="AO2" s="1917"/>
      <c r="AP2" s="1917"/>
      <c r="AQ2" s="1917"/>
      <c r="AR2" s="1917"/>
      <c r="AS2" s="1917"/>
      <c r="AT2" s="1917"/>
      <c r="AU2" s="1917"/>
      <c r="AV2" s="1917"/>
      <c r="AW2" s="1917"/>
      <c r="AX2" s="1917"/>
      <c r="AY2" s="1917"/>
      <c r="AZ2" s="1917"/>
      <c r="BA2" s="1917"/>
      <c r="BB2" s="1917"/>
      <c r="BC2" s="1917"/>
      <c r="BD2" s="1917"/>
      <c r="BE2" s="1917"/>
      <c r="BF2" s="1917"/>
      <c r="BG2" s="1917"/>
      <c r="BH2" s="1917"/>
      <c r="BI2" s="1917"/>
      <c r="BJ2" s="1917"/>
      <c r="BK2" s="1917"/>
      <c r="BL2" s="1917"/>
      <c r="BM2" s="1917"/>
      <c r="BN2" s="1917"/>
      <c r="BO2" s="1917"/>
      <c r="BP2" s="1917"/>
      <c r="BQ2" s="1917"/>
      <c r="BR2" s="1917"/>
      <c r="BS2" s="1917"/>
      <c r="BT2" s="1917"/>
      <c r="BU2" s="1917"/>
      <c r="BV2" s="1917"/>
      <c r="BW2" s="1917"/>
      <c r="BX2" s="1917"/>
      <c r="BY2" s="1917"/>
      <c r="BZ2" s="1917"/>
      <c r="CA2" s="1917"/>
      <c r="CB2" s="1917"/>
      <c r="CC2" s="1917"/>
      <c r="CD2" s="1917"/>
      <c r="CE2" s="1917"/>
      <c r="CF2" s="1917"/>
      <c r="CG2" s="1917"/>
      <c r="CH2" s="1917"/>
      <c r="CI2" s="1917"/>
      <c r="CJ2" s="1917"/>
      <c r="CK2" s="1917"/>
      <c r="CL2" s="1917"/>
      <c r="CM2" s="1917"/>
      <c r="CN2" s="1917"/>
      <c r="CO2" s="1917"/>
      <c r="CP2" s="1917"/>
      <c r="CQ2" s="1917"/>
      <c r="CR2" s="1917"/>
      <c r="CS2" s="1917"/>
      <c r="CT2" s="1917"/>
      <c r="CU2" s="1917"/>
      <c r="CV2" s="1917"/>
      <c r="CW2" s="1917"/>
      <c r="CX2" s="1917"/>
      <c r="CY2" s="1917"/>
    </row>
    <row r="3" spans="1:105" s="139" customFormat="1" ht="16.5">
      <c r="A3" s="1918" t="s">
        <v>0</v>
      </c>
      <c r="B3" s="1920" t="s">
        <v>187</v>
      </c>
      <c r="C3" s="1921"/>
      <c r="D3" s="1921"/>
      <c r="E3" s="1922"/>
      <c r="F3" s="1912" t="s">
        <v>188</v>
      </c>
      <c r="G3" s="1912"/>
      <c r="H3" s="1912"/>
      <c r="I3" s="1912"/>
      <c r="J3" s="1914" t="s">
        <v>189</v>
      </c>
      <c r="K3" s="1912"/>
      <c r="L3" s="1912"/>
      <c r="M3" s="1913"/>
      <c r="N3" s="1914" t="s">
        <v>190</v>
      </c>
      <c r="O3" s="1912"/>
      <c r="P3" s="1912"/>
      <c r="Q3" s="1913"/>
      <c r="R3" s="1912" t="s">
        <v>191</v>
      </c>
      <c r="S3" s="1912"/>
      <c r="T3" s="1912"/>
      <c r="U3" s="1913"/>
      <c r="V3" s="1914" t="s">
        <v>192</v>
      </c>
      <c r="W3" s="1912"/>
      <c r="X3" s="1912"/>
      <c r="Y3" s="1913"/>
      <c r="Z3" s="1912" t="s">
        <v>193</v>
      </c>
      <c r="AA3" s="1912"/>
      <c r="AB3" s="1912"/>
      <c r="AC3" s="1913"/>
      <c r="AD3" s="1912" t="s">
        <v>194</v>
      </c>
      <c r="AE3" s="1912"/>
      <c r="AF3" s="1912"/>
      <c r="AG3" s="1913"/>
      <c r="AH3" s="1912" t="s">
        <v>195</v>
      </c>
      <c r="AI3" s="1912"/>
      <c r="AJ3" s="1912"/>
      <c r="AK3" s="1913"/>
      <c r="AL3" s="1912" t="s">
        <v>196</v>
      </c>
      <c r="AM3" s="1912"/>
      <c r="AN3" s="1912"/>
      <c r="AO3" s="1913"/>
      <c r="AP3" s="1912" t="s">
        <v>197</v>
      </c>
      <c r="AQ3" s="1912"/>
      <c r="AR3" s="1912"/>
      <c r="AS3" s="1913"/>
      <c r="AT3" s="1912" t="s">
        <v>198</v>
      </c>
      <c r="AU3" s="1912"/>
      <c r="AV3" s="1912"/>
      <c r="AW3" s="1913"/>
      <c r="AX3" s="1912" t="s">
        <v>199</v>
      </c>
      <c r="AY3" s="1912"/>
      <c r="AZ3" s="1912"/>
      <c r="BA3" s="1913"/>
      <c r="BB3" s="1912" t="s">
        <v>200</v>
      </c>
      <c r="BC3" s="1912"/>
      <c r="BD3" s="1912"/>
      <c r="BE3" s="1913"/>
      <c r="BF3" s="1915" t="s">
        <v>201</v>
      </c>
      <c r="BG3" s="1915"/>
      <c r="BH3" s="1915"/>
      <c r="BI3" s="1916"/>
      <c r="BJ3" s="1912" t="s">
        <v>202</v>
      </c>
      <c r="BK3" s="1912"/>
      <c r="BL3" s="1912"/>
      <c r="BM3" s="1913"/>
      <c r="BN3" s="1912" t="s">
        <v>203</v>
      </c>
      <c r="BO3" s="1912"/>
      <c r="BP3" s="1912"/>
      <c r="BQ3" s="1913"/>
      <c r="BR3" s="1912" t="s">
        <v>204</v>
      </c>
      <c r="BS3" s="1912"/>
      <c r="BT3" s="1912"/>
      <c r="BU3" s="1913"/>
      <c r="BV3" s="1915" t="s">
        <v>205</v>
      </c>
      <c r="BW3" s="1915"/>
      <c r="BX3" s="1915"/>
      <c r="BY3" s="1916"/>
      <c r="BZ3" s="1912" t="s">
        <v>206</v>
      </c>
      <c r="CA3" s="1912"/>
      <c r="CB3" s="1912"/>
      <c r="CC3" s="1913"/>
      <c r="CD3" s="1912" t="s">
        <v>207</v>
      </c>
      <c r="CE3" s="1912"/>
      <c r="CF3" s="1912"/>
      <c r="CG3" s="1913"/>
      <c r="CH3" s="1912" t="s">
        <v>208</v>
      </c>
      <c r="CI3" s="1912"/>
      <c r="CJ3" s="1912"/>
      <c r="CK3" s="1913"/>
      <c r="CL3" s="1912" t="s">
        <v>209</v>
      </c>
      <c r="CM3" s="1912"/>
      <c r="CN3" s="1912"/>
      <c r="CO3" s="1913"/>
      <c r="CP3" s="1914" t="s">
        <v>1</v>
      </c>
      <c r="CQ3" s="1912"/>
      <c r="CR3" s="1912"/>
      <c r="CS3" s="1913"/>
      <c r="CT3" s="1915" t="s">
        <v>210</v>
      </c>
      <c r="CU3" s="1915"/>
      <c r="CV3" s="1915"/>
      <c r="CW3" s="1916"/>
      <c r="CX3" s="1923" t="s">
        <v>2</v>
      </c>
      <c r="CY3" s="1924"/>
      <c r="CZ3" s="1924"/>
      <c r="DA3" s="1925"/>
    </row>
    <row r="4" spans="1:105" s="834" customFormat="1" ht="15.75" thickBot="1">
      <c r="A4" s="1919"/>
      <c r="B4" s="832" t="s">
        <v>440</v>
      </c>
      <c r="C4" s="833" t="s">
        <v>441</v>
      </c>
      <c r="D4" s="833" t="s">
        <v>444</v>
      </c>
      <c r="E4" s="830" t="s">
        <v>445</v>
      </c>
      <c r="F4" s="833" t="s">
        <v>440</v>
      </c>
      <c r="G4" s="833" t="s">
        <v>441</v>
      </c>
      <c r="H4" s="833" t="s">
        <v>444</v>
      </c>
      <c r="I4" s="833" t="s">
        <v>445</v>
      </c>
      <c r="J4" s="832" t="s">
        <v>440</v>
      </c>
      <c r="K4" s="833" t="s">
        <v>441</v>
      </c>
      <c r="L4" s="833" t="s">
        <v>444</v>
      </c>
      <c r="M4" s="830" t="s">
        <v>445</v>
      </c>
      <c r="N4" s="832" t="s">
        <v>440</v>
      </c>
      <c r="O4" s="833" t="s">
        <v>441</v>
      </c>
      <c r="P4" s="833" t="s">
        <v>444</v>
      </c>
      <c r="Q4" s="830" t="s">
        <v>445</v>
      </c>
      <c r="R4" s="833" t="s">
        <v>440</v>
      </c>
      <c r="S4" s="833" t="s">
        <v>441</v>
      </c>
      <c r="T4" s="833" t="s">
        <v>444</v>
      </c>
      <c r="U4" s="830" t="s">
        <v>445</v>
      </c>
      <c r="V4" s="832" t="s">
        <v>440</v>
      </c>
      <c r="W4" s="833" t="s">
        <v>441</v>
      </c>
      <c r="X4" s="833" t="s">
        <v>444</v>
      </c>
      <c r="Y4" s="830" t="s">
        <v>445</v>
      </c>
      <c r="Z4" s="833" t="s">
        <v>440</v>
      </c>
      <c r="AA4" s="833" t="s">
        <v>441</v>
      </c>
      <c r="AB4" s="833" t="s">
        <v>444</v>
      </c>
      <c r="AC4" s="830" t="s">
        <v>445</v>
      </c>
      <c r="AD4" s="833" t="s">
        <v>440</v>
      </c>
      <c r="AE4" s="833" t="s">
        <v>441</v>
      </c>
      <c r="AF4" s="833" t="s">
        <v>444</v>
      </c>
      <c r="AG4" s="830" t="s">
        <v>445</v>
      </c>
      <c r="AH4" s="833" t="s">
        <v>440</v>
      </c>
      <c r="AI4" s="833" t="s">
        <v>441</v>
      </c>
      <c r="AJ4" s="833" t="s">
        <v>444</v>
      </c>
      <c r="AK4" s="830" t="s">
        <v>445</v>
      </c>
      <c r="AL4" s="833" t="s">
        <v>440</v>
      </c>
      <c r="AM4" s="833" t="s">
        <v>441</v>
      </c>
      <c r="AN4" s="833" t="s">
        <v>444</v>
      </c>
      <c r="AO4" s="830" t="s">
        <v>445</v>
      </c>
      <c r="AP4" s="833" t="s">
        <v>440</v>
      </c>
      <c r="AQ4" s="833" t="s">
        <v>441</v>
      </c>
      <c r="AR4" s="833" t="s">
        <v>444</v>
      </c>
      <c r="AS4" s="830" t="s">
        <v>445</v>
      </c>
      <c r="AT4" s="833" t="s">
        <v>440</v>
      </c>
      <c r="AU4" s="833" t="s">
        <v>441</v>
      </c>
      <c r="AV4" s="833" t="s">
        <v>444</v>
      </c>
      <c r="AW4" s="830" t="s">
        <v>445</v>
      </c>
      <c r="AX4" s="832" t="s">
        <v>440</v>
      </c>
      <c r="AY4" s="833" t="s">
        <v>441</v>
      </c>
      <c r="AZ4" s="833" t="s">
        <v>444</v>
      </c>
      <c r="BA4" s="830" t="s">
        <v>445</v>
      </c>
      <c r="BB4" s="833" t="s">
        <v>440</v>
      </c>
      <c r="BC4" s="833" t="s">
        <v>441</v>
      </c>
      <c r="BD4" s="833" t="s">
        <v>444</v>
      </c>
      <c r="BE4" s="830" t="s">
        <v>445</v>
      </c>
      <c r="BF4" s="833" t="s">
        <v>440</v>
      </c>
      <c r="BG4" s="833" t="s">
        <v>441</v>
      </c>
      <c r="BH4" s="833" t="s">
        <v>444</v>
      </c>
      <c r="BI4" s="830" t="s">
        <v>445</v>
      </c>
      <c r="BJ4" s="833" t="s">
        <v>440</v>
      </c>
      <c r="BK4" s="833" t="s">
        <v>441</v>
      </c>
      <c r="BL4" s="833" t="s">
        <v>444</v>
      </c>
      <c r="BM4" s="830" t="s">
        <v>445</v>
      </c>
      <c r="BN4" s="833" t="s">
        <v>440</v>
      </c>
      <c r="BO4" s="833" t="s">
        <v>441</v>
      </c>
      <c r="BP4" s="833" t="s">
        <v>444</v>
      </c>
      <c r="BQ4" s="830" t="s">
        <v>445</v>
      </c>
      <c r="BR4" s="833" t="s">
        <v>440</v>
      </c>
      <c r="BS4" s="833" t="s">
        <v>441</v>
      </c>
      <c r="BT4" s="833" t="s">
        <v>444</v>
      </c>
      <c r="BU4" s="830" t="s">
        <v>445</v>
      </c>
      <c r="BV4" s="833" t="s">
        <v>440</v>
      </c>
      <c r="BW4" s="833" t="s">
        <v>441</v>
      </c>
      <c r="BX4" s="833" t="s">
        <v>444</v>
      </c>
      <c r="BY4" s="830" t="s">
        <v>445</v>
      </c>
      <c r="BZ4" s="833" t="s">
        <v>440</v>
      </c>
      <c r="CA4" s="833" t="s">
        <v>441</v>
      </c>
      <c r="CB4" s="833" t="s">
        <v>444</v>
      </c>
      <c r="CC4" s="830" t="s">
        <v>445</v>
      </c>
      <c r="CD4" s="833" t="s">
        <v>440</v>
      </c>
      <c r="CE4" s="833" t="s">
        <v>441</v>
      </c>
      <c r="CF4" s="833" t="s">
        <v>444</v>
      </c>
      <c r="CG4" s="830" t="s">
        <v>445</v>
      </c>
      <c r="CH4" s="833" t="s">
        <v>440</v>
      </c>
      <c r="CI4" s="833" t="s">
        <v>441</v>
      </c>
      <c r="CJ4" s="833" t="s">
        <v>444</v>
      </c>
      <c r="CK4" s="830" t="s">
        <v>445</v>
      </c>
      <c r="CL4" s="832" t="s">
        <v>440</v>
      </c>
      <c r="CM4" s="833" t="s">
        <v>441</v>
      </c>
      <c r="CN4" s="833" t="s">
        <v>444</v>
      </c>
      <c r="CO4" s="830" t="s">
        <v>445</v>
      </c>
      <c r="CP4" s="832" t="s">
        <v>440</v>
      </c>
      <c r="CQ4" s="833" t="s">
        <v>441</v>
      </c>
      <c r="CR4" s="833" t="s">
        <v>444</v>
      </c>
      <c r="CS4" s="830" t="s">
        <v>445</v>
      </c>
      <c r="CT4" s="832" t="s">
        <v>440</v>
      </c>
      <c r="CU4" s="833" t="s">
        <v>441</v>
      </c>
      <c r="CV4" s="833" t="s">
        <v>444</v>
      </c>
      <c r="CW4" s="830" t="s">
        <v>445</v>
      </c>
      <c r="CX4" s="832" t="s">
        <v>440</v>
      </c>
      <c r="CY4" s="833" t="s">
        <v>441</v>
      </c>
      <c r="CZ4" s="833" t="s">
        <v>444</v>
      </c>
      <c r="DA4" s="830" t="s">
        <v>445</v>
      </c>
    </row>
    <row r="5" spans="1:105" s="144" customFormat="1" ht="14.25">
      <c r="A5" s="692" t="s">
        <v>21</v>
      </c>
      <c r="B5" s="238"/>
      <c r="C5" s="239"/>
      <c r="D5" s="239"/>
      <c r="E5" s="240"/>
      <c r="F5" s="241"/>
      <c r="G5" s="239"/>
      <c r="H5" s="239"/>
      <c r="I5" s="245"/>
      <c r="J5" s="238"/>
      <c r="K5" s="239"/>
      <c r="L5" s="239"/>
      <c r="M5" s="240"/>
      <c r="N5" s="238"/>
      <c r="O5" s="239"/>
      <c r="P5" s="239"/>
      <c r="Q5" s="240"/>
      <c r="R5" s="241"/>
      <c r="S5" s="239"/>
      <c r="T5" s="239"/>
      <c r="U5" s="240"/>
      <c r="V5" s="238"/>
      <c r="W5" s="239"/>
      <c r="X5" s="239"/>
      <c r="Y5" s="240"/>
      <c r="Z5" s="241"/>
      <c r="AA5" s="239"/>
      <c r="AB5" s="239"/>
      <c r="AC5" s="240"/>
      <c r="AD5" s="241"/>
      <c r="AE5" s="239"/>
      <c r="AF5" s="239"/>
      <c r="AG5" s="240"/>
      <c r="AH5" s="241"/>
      <c r="AI5" s="239"/>
      <c r="AJ5" s="239"/>
      <c r="AK5" s="240"/>
      <c r="AL5" s="241"/>
      <c r="AM5" s="239"/>
      <c r="AN5" s="239"/>
      <c r="AO5" s="240"/>
      <c r="AP5" s="243"/>
      <c r="AQ5" s="244"/>
      <c r="AR5" s="244"/>
      <c r="AS5" s="242"/>
      <c r="AT5" s="1642"/>
      <c r="AU5" s="321"/>
      <c r="AV5" s="321"/>
      <c r="AW5" s="322"/>
      <c r="AX5" s="320"/>
      <c r="AY5" s="321"/>
      <c r="AZ5" s="321"/>
      <c r="BA5" s="322"/>
      <c r="BB5" s="241"/>
      <c r="BC5" s="239"/>
      <c r="BD5" s="239"/>
      <c r="BE5" s="240"/>
      <c r="BF5" s="241"/>
      <c r="BG5" s="239"/>
      <c r="BH5" s="239"/>
      <c r="BI5" s="240"/>
      <c r="BJ5" s="1642"/>
      <c r="BK5" s="321"/>
      <c r="BL5" s="321"/>
      <c r="BM5" s="322"/>
      <c r="BN5" s="1642"/>
      <c r="BO5" s="321"/>
      <c r="BP5" s="321"/>
      <c r="BQ5" s="322"/>
      <c r="BR5" s="241"/>
      <c r="BS5" s="239"/>
      <c r="BT5" s="239"/>
      <c r="BU5" s="240"/>
      <c r="BV5" s="1642"/>
      <c r="BW5" s="321"/>
      <c r="BX5" s="321"/>
      <c r="BY5" s="322"/>
      <c r="BZ5" s="1642"/>
      <c r="CA5" s="321"/>
      <c r="CB5" s="321"/>
      <c r="CC5" s="322"/>
      <c r="CD5" s="241"/>
      <c r="CE5" s="239"/>
      <c r="CF5" s="239"/>
      <c r="CG5" s="240"/>
      <c r="CH5" s="1642"/>
      <c r="CI5" s="321"/>
      <c r="CJ5" s="321"/>
      <c r="CK5" s="322"/>
      <c r="CL5" s="320"/>
      <c r="CM5" s="321"/>
      <c r="CN5" s="321"/>
      <c r="CO5" s="322"/>
      <c r="CP5" s="238"/>
      <c r="CQ5" s="245"/>
      <c r="CR5" s="693"/>
      <c r="CS5" s="694"/>
      <c r="CT5" s="241"/>
      <c r="CU5" s="239"/>
      <c r="CV5" s="239"/>
      <c r="CW5" s="240"/>
      <c r="CX5" s="238"/>
      <c r="CY5" s="239"/>
      <c r="CZ5" s="695"/>
      <c r="DA5" s="696"/>
    </row>
    <row r="6" spans="1:105" s="144" customFormat="1" ht="14.25">
      <c r="A6" s="140" t="s">
        <v>22</v>
      </c>
      <c r="B6" s="185"/>
      <c r="C6" s="145"/>
      <c r="D6" s="145"/>
      <c r="E6" s="146"/>
      <c r="F6" s="186"/>
      <c r="G6" s="148"/>
      <c r="H6" s="148"/>
      <c r="I6" s="150"/>
      <c r="J6" s="147"/>
      <c r="K6" s="148"/>
      <c r="L6" s="148"/>
      <c r="M6" s="149"/>
      <c r="N6" s="147"/>
      <c r="O6" s="148"/>
      <c r="P6" s="148"/>
      <c r="Q6" s="149"/>
      <c r="R6" s="186"/>
      <c r="S6" s="148"/>
      <c r="T6" s="148"/>
      <c r="U6" s="149"/>
      <c r="V6" s="147"/>
      <c r="W6" s="148"/>
      <c r="X6" s="148"/>
      <c r="Y6" s="149"/>
      <c r="Z6" s="186"/>
      <c r="AA6" s="148"/>
      <c r="AB6" s="148"/>
      <c r="AC6" s="149"/>
      <c r="AD6" s="186"/>
      <c r="AE6" s="148"/>
      <c r="AF6" s="148"/>
      <c r="AG6" s="149"/>
      <c r="AH6" s="186"/>
      <c r="AI6" s="148"/>
      <c r="AJ6" s="148"/>
      <c r="AK6" s="149"/>
      <c r="AL6" s="186"/>
      <c r="AM6" s="148"/>
      <c r="AN6" s="148"/>
      <c r="AO6" s="149"/>
      <c r="AP6" s="187"/>
      <c r="AQ6" s="152"/>
      <c r="AR6" s="152"/>
      <c r="AS6" s="153"/>
      <c r="AT6" s="186"/>
      <c r="AU6" s="148"/>
      <c r="AV6" s="148"/>
      <c r="AW6" s="149"/>
      <c r="AX6" s="154"/>
      <c r="AY6" s="155"/>
      <c r="AZ6" s="155"/>
      <c r="BA6" s="156"/>
      <c r="BB6" s="186"/>
      <c r="BC6" s="148"/>
      <c r="BD6" s="148"/>
      <c r="BE6" s="149"/>
      <c r="BF6" s="186"/>
      <c r="BG6" s="148"/>
      <c r="BH6" s="148"/>
      <c r="BI6" s="149"/>
      <c r="BJ6" s="186"/>
      <c r="BK6" s="148"/>
      <c r="BL6" s="148"/>
      <c r="BM6" s="149"/>
      <c r="BN6" s="186"/>
      <c r="BO6" s="148"/>
      <c r="BP6" s="148"/>
      <c r="BQ6" s="149"/>
      <c r="BR6" s="186"/>
      <c r="BS6" s="148"/>
      <c r="BT6" s="148"/>
      <c r="BU6" s="149"/>
      <c r="BV6" s="1644"/>
      <c r="BW6" s="148"/>
      <c r="BX6" s="148"/>
      <c r="BY6" s="149"/>
      <c r="BZ6" s="698"/>
      <c r="CA6" s="142"/>
      <c r="CB6" s="142"/>
      <c r="CC6" s="143"/>
      <c r="CD6" s="699"/>
      <c r="CE6" s="158"/>
      <c r="CF6" s="158"/>
      <c r="CG6" s="1647"/>
      <c r="CH6" s="700"/>
      <c r="CI6" s="159"/>
      <c r="CJ6" s="159"/>
      <c r="CK6" s="1649"/>
      <c r="CL6" s="147"/>
      <c r="CM6" s="148"/>
      <c r="CN6" s="148"/>
      <c r="CO6" s="149"/>
      <c r="CP6" s="160"/>
      <c r="CQ6" s="161"/>
      <c r="CR6" s="162"/>
      <c r="CS6" s="163"/>
      <c r="CT6" s="700"/>
      <c r="CU6" s="159"/>
      <c r="CV6" s="159"/>
      <c r="CW6" s="1649"/>
      <c r="CX6" s="160"/>
      <c r="CY6" s="164"/>
      <c r="CZ6" s="148"/>
      <c r="DA6" s="143"/>
    </row>
    <row r="7" spans="1:105" s="144" customFormat="1" ht="14.25">
      <c r="A7" s="686" t="s">
        <v>23</v>
      </c>
      <c r="B7" s="697">
        <v>3098795</v>
      </c>
      <c r="C7" s="165">
        <v>2630588</v>
      </c>
      <c r="D7" s="165">
        <f aca="true" t="shared" si="0" ref="D7:E9">B7</f>
        <v>3098795</v>
      </c>
      <c r="E7" s="166">
        <f t="shared" si="0"/>
        <v>2630588</v>
      </c>
      <c r="F7" s="187">
        <v>214631</v>
      </c>
      <c r="G7" s="152">
        <v>199005</v>
      </c>
      <c r="H7" s="152">
        <f aca="true" t="shared" si="1" ref="H7:I9">F7</f>
        <v>214631</v>
      </c>
      <c r="I7" s="167">
        <f t="shared" si="1"/>
        <v>199005</v>
      </c>
      <c r="J7" s="151">
        <v>383738</v>
      </c>
      <c r="K7" s="152">
        <v>497630</v>
      </c>
      <c r="L7" s="152">
        <f aca="true" t="shared" si="2" ref="L7:M9">J7</f>
        <v>383738</v>
      </c>
      <c r="M7" s="153">
        <f t="shared" si="2"/>
        <v>497630</v>
      </c>
      <c r="N7" s="151">
        <v>3306400</v>
      </c>
      <c r="O7" s="152">
        <v>2821909</v>
      </c>
      <c r="P7" s="152">
        <f aca="true" t="shared" si="3" ref="P7:Q9">N7</f>
        <v>3306400</v>
      </c>
      <c r="Q7" s="153">
        <f t="shared" si="3"/>
        <v>2821909</v>
      </c>
      <c r="R7" s="187">
        <v>1207822</v>
      </c>
      <c r="S7" s="152">
        <v>1021845</v>
      </c>
      <c r="T7" s="152">
        <f aca="true" t="shared" si="4" ref="T7:U9">R7</f>
        <v>1207822</v>
      </c>
      <c r="U7" s="153">
        <f t="shared" si="4"/>
        <v>1021845</v>
      </c>
      <c r="V7" s="151">
        <v>1600413</v>
      </c>
      <c r="W7" s="152">
        <v>1384376</v>
      </c>
      <c r="X7" s="152">
        <f aca="true" t="shared" si="5" ref="X7:Y9">V7</f>
        <v>1600413</v>
      </c>
      <c r="Y7" s="153">
        <f t="shared" si="5"/>
        <v>1384376</v>
      </c>
      <c r="Z7" s="187">
        <v>381318</v>
      </c>
      <c r="AA7" s="152">
        <v>655399</v>
      </c>
      <c r="AB7" s="152">
        <f aca="true" t="shared" si="6" ref="AB7:AC9">Z7</f>
        <v>381318</v>
      </c>
      <c r="AC7" s="153">
        <f t="shared" si="6"/>
        <v>655399</v>
      </c>
      <c r="AD7" s="187">
        <v>494725</v>
      </c>
      <c r="AE7" s="152">
        <v>570570</v>
      </c>
      <c r="AF7" s="152">
        <f aca="true" t="shared" si="7" ref="AF7:AG9">AD7</f>
        <v>494725</v>
      </c>
      <c r="AG7" s="153">
        <f t="shared" si="7"/>
        <v>570570</v>
      </c>
      <c r="AH7" s="187">
        <v>1238904</v>
      </c>
      <c r="AI7" s="152">
        <v>1479755</v>
      </c>
      <c r="AJ7" s="152">
        <f aca="true" t="shared" si="8" ref="AJ7:AK9">AH7</f>
        <v>1238904</v>
      </c>
      <c r="AK7" s="153">
        <f t="shared" si="8"/>
        <v>1479755</v>
      </c>
      <c r="AL7" s="187">
        <v>1337017</v>
      </c>
      <c r="AM7" s="152">
        <v>838398</v>
      </c>
      <c r="AN7" s="152">
        <f aca="true" t="shared" si="9" ref="AN7:AO9">AL7</f>
        <v>1337017</v>
      </c>
      <c r="AO7" s="153">
        <f t="shared" si="9"/>
        <v>838398</v>
      </c>
      <c r="AP7" s="187">
        <v>13265804</v>
      </c>
      <c r="AQ7" s="152">
        <v>8124286</v>
      </c>
      <c r="AR7" s="152">
        <f aca="true" t="shared" si="10" ref="AR7:AS9">AP7</f>
        <v>13265804</v>
      </c>
      <c r="AS7" s="153">
        <f t="shared" si="10"/>
        <v>8124286</v>
      </c>
      <c r="AT7" s="187">
        <v>12697535</v>
      </c>
      <c r="AU7" s="152">
        <v>12587140</v>
      </c>
      <c r="AV7" s="152">
        <f aca="true" t="shared" si="11" ref="AV7:AW9">AT7</f>
        <v>12697535</v>
      </c>
      <c r="AW7" s="153">
        <f t="shared" si="11"/>
        <v>12587140</v>
      </c>
      <c r="AX7" s="151">
        <v>499385</v>
      </c>
      <c r="AY7" s="171">
        <v>625786</v>
      </c>
      <c r="AZ7" s="171">
        <f aca="true" t="shared" si="12" ref="AZ7:BA9">AX7</f>
        <v>499385</v>
      </c>
      <c r="BA7" s="172">
        <f t="shared" si="12"/>
        <v>625786</v>
      </c>
      <c r="BB7" s="186">
        <v>1187448</v>
      </c>
      <c r="BC7" s="148">
        <v>997286</v>
      </c>
      <c r="BD7" s="148">
        <f aca="true" t="shared" si="13" ref="BD7:BE9">BB7</f>
        <v>1187448</v>
      </c>
      <c r="BE7" s="149">
        <f t="shared" si="13"/>
        <v>997286</v>
      </c>
      <c r="BF7" s="187">
        <v>5443326</v>
      </c>
      <c r="BG7" s="152">
        <v>3591988</v>
      </c>
      <c r="BH7" s="152">
        <f aca="true" t="shared" si="14" ref="BH7:BI9">BF7</f>
        <v>5443326</v>
      </c>
      <c r="BI7" s="153">
        <f t="shared" si="14"/>
        <v>3591988</v>
      </c>
      <c r="BJ7" s="187">
        <v>6460601</v>
      </c>
      <c r="BK7" s="152">
        <v>5360653</v>
      </c>
      <c r="BL7" s="152">
        <f aca="true" t="shared" si="15" ref="BL7:BM9">BJ7</f>
        <v>6460601</v>
      </c>
      <c r="BM7" s="153">
        <f t="shared" si="15"/>
        <v>5360653</v>
      </c>
      <c r="BN7" s="187">
        <v>2563592</v>
      </c>
      <c r="BO7" s="152">
        <v>2322025</v>
      </c>
      <c r="BP7" s="152">
        <f aca="true" t="shared" si="16" ref="BP7:BQ9">BN7</f>
        <v>2563592</v>
      </c>
      <c r="BQ7" s="152">
        <f t="shared" si="16"/>
        <v>2322025</v>
      </c>
      <c r="BR7" s="187">
        <v>2133532</v>
      </c>
      <c r="BS7" s="152">
        <v>1911122</v>
      </c>
      <c r="BT7" s="152">
        <f aca="true" t="shared" si="17" ref="BT7:BU9">BR7</f>
        <v>2133532</v>
      </c>
      <c r="BU7" s="153">
        <f t="shared" si="17"/>
        <v>1911122</v>
      </c>
      <c r="BV7" s="1644"/>
      <c r="BW7" s="148"/>
      <c r="BX7" s="148"/>
      <c r="BY7" s="149"/>
      <c r="BZ7" s="1450">
        <v>16443478</v>
      </c>
      <c r="CA7" s="1369">
        <v>12096531</v>
      </c>
      <c r="CB7" s="1369">
        <f aca="true" t="shared" si="18" ref="CB7:CC9">BZ7</f>
        <v>16443478</v>
      </c>
      <c r="CC7" s="1370">
        <f t="shared" si="18"/>
        <v>12096531</v>
      </c>
      <c r="CD7" s="323">
        <v>808729</v>
      </c>
      <c r="CE7" s="173">
        <v>877281</v>
      </c>
      <c r="CF7" s="173">
        <f aca="true" t="shared" si="19" ref="CF7:CG9">CD7</f>
        <v>808729</v>
      </c>
      <c r="CG7" s="1608">
        <f t="shared" si="19"/>
        <v>877281</v>
      </c>
      <c r="CH7" s="701">
        <v>923924</v>
      </c>
      <c r="CI7" s="175">
        <v>634677</v>
      </c>
      <c r="CJ7" s="175">
        <f aca="true" t="shared" si="20" ref="CJ7:CK9">CH7</f>
        <v>923924</v>
      </c>
      <c r="CK7" s="176">
        <f t="shared" si="20"/>
        <v>634677</v>
      </c>
      <c r="CL7" s="151">
        <v>4617511</v>
      </c>
      <c r="CM7" s="152">
        <v>2878162</v>
      </c>
      <c r="CN7" s="152">
        <f aca="true" t="shared" si="21" ref="CN7:CO9">CL7</f>
        <v>4617511</v>
      </c>
      <c r="CO7" s="153">
        <f t="shared" si="21"/>
        <v>2878162</v>
      </c>
      <c r="CP7" s="177">
        <f aca="true" t="shared" si="22" ref="CP7:CQ14">SUM(B7+F7+J7+N7+R7+V7+Z7+AD7+AH7+AL7+AP7+AT7+AX7+BB7+BF7+BJ7+BN7+BR7+BV7+BZ7+CD7+CH7+CL7)</f>
        <v>80308628</v>
      </c>
      <c r="CQ7" s="177">
        <f t="shared" si="22"/>
        <v>64106412</v>
      </c>
      <c r="CR7" s="177">
        <f aca="true" t="shared" si="23" ref="CR7:CS10">SUM(D7+H7+L7+P7+T7+X7+AB7+AF7+AJ7+AN7+AR7+AV7+AZ7+BD7+BH7+BL7+BP7+BT7+BX7+CB7+CF7+CJ7+CN7)</f>
        <v>80308628</v>
      </c>
      <c r="CS7" s="178">
        <f t="shared" si="23"/>
        <v>64106412</v>
      </c>
      <c r="CT7" s="701">
        <v>190131436</v>
      </c>
      <c r="CU7" s="175">
        <v>50570425</v>
      </c>
      <c r="CV7" s="175">
        <f aca="true" t="shared" si="24" ref="CV7:CW9">CT7</f>
        <v>190131436</v>
      </c>
      <c r="CW7" s="176">
        <f t="shared" si="24"/>
        <v>50570425</v>
      </c>
      <c r="CX7" s="177">
        <f aca="true" t="shared" si="25" ref="CX7:CY10">CP7+CT7</f>
        <v>270440064</v>
      </c>
      <c r="CY7" s="177">
        <f t="shared" si="25"/>
        <v>114676837</v>
      </c>
      <c r="CZ7" s="177">
        <f aca="true" t="shared" si="26" ref="CZ7:DA14">CR7+CV7</f>
        <v>270440064</v>
      </c>
      <c r="DA7" s="178">
        <f t="shared" si="26"/>
        <v>114676837</v>
      </c>
    </row>
    <row r="8" spans="1:105" s="144" customFormat="1" ht="14.25">
      <c r="A8" s="686" t="s">
        <v>24</v>
      </c>
      <c r="B8" s="697">
        <v>7506487</v>
      </c>
      <c r="C8" s="165">
        <v>6254191</v>
      </c>
      <c r="D8" s="165">
        <f t="shared" si="0"/>
        <v>7506487</v>
      </c>
      <c r="E8" s="166">
        <f t="shared" si="0"/>
        <v>6254191</v>
      </c>
      <c r="F8" s="187">
        <v>832356</v>
      </c>
      <c r="G8" s="152">
        <v>687372</v>
      </c>
      <c r="H8" s="152">
        <f t="shared" si="1"/>
        <v>832356</v>
      </c>
      <c r="I8" s="167">
        <f t="shared" si="1"/>
        <v>687372</v>
      </c>
      <c r="J8" s="151">
        <v>1785892</v>
      </c>
      <c r="K8" s="152">
        <v>1674559</v>
      </c>
      <c r="L8" s="152">
        <f t="shared" si="2"/>
        <v>1785892</v>
      </c>
      <c r="M8" s="153">
        <f t="shared" si="2"/>
        <v>1674559</v>
      </c>
      <c r="N8" s="151">
        <v>8227288</v>
      </c>
      <c r="O8" s="152">
        <v>6409266</v>
      </c>
      <c r="P8" s="152">
        <f t="shared" si="3"/>
        <v>8227288</v>
      </c>
      <c r="Q8" s="153">
        <f t="shared" si="3"/>
        <v>6409266</v>
      </c>
      <c r="R8" s="187">
        <v>2228774</v>
      </c>
      <c r="S8" s="152">
        <v>1907183</v>
      </c>
      <c r="T8" s="152">
        <f t="shared" si="4"/>
        <v>2228774</v>
      </c>
      <c r="U8" s="153">
        <f t="shared" si="4"/>
        <v>1907183</v>
      </c>
      <c r="V8" s="151">
        <v>4260336</v>
      </c>
      <c r="W8" s="152">
        <v>3872075</v>
      </c>
      <c r="X8" s="152">
        <f t="shared" si="5"/>
        <v>4260336</v>
      </c>
      <c r="Y8" s="153">
        <f t="shared" si="5"/>
        <v>3872075</v>
      </c>
      <c r="Z8" s="187">
        <v>1536670</v>
      </c>
      <c r="AA8" s="152">
        <v>871823</v>
      </c>
      <c r="AB8" s="152">
        <f t="shared" si="6"/>
        <v>1536670</v>
      </c>
      <c r="AC8" s="153">
        <f t="shared" si="6"/>
        <v>871823</v>
      </c>
      <c r="AD8" s="187">
        <v>1068716</v>
      </c>
      <c r="AE8" s="152">
        <v>548767</v>
      </c>
      <c r="AF8" s="152">
        <f t="shared" si="7"/>
        <v>1068716</v>
      </c>
      <c r="AG8" s="153">
        <f t="shared" si="7"/>
        <v>548767</v>
      </c>
      <c r="AH8" s="187">
        <v>4171894</v>
      </c>
      <c r="AI8" s="152">
        <v>3476314</v>
      </c>
      <c r="AJ8" s="152">
        <f t="shared" si="8"/>
        <v>4171894</v>
      </c>
      <c r="AK8" s="153">
        <f t="shared" si="8"/>
        <v>3476314</v>
      </c>
      <c r="AL8" s="187">
        <v>848957</v>
      </c>
      <c r="AM8" s="152">
        <v>620326</v>
      </c>
      <c r="AN8" s="152">
        <f t="shared" si="9"/>
        <v>848957</v>
      </c>
      <c r="AO8" s="153">
        <f t="shared" si="9"/>
        <v>620326</v>
      </c>
      <c r="AP8" s="187">
        <v>26098038</v>
      </c>
      <c r="AQ8" s="152">
        <v>23800605</v>
      </c>
      <c r="AR8" s="152">
        <f t="shared" si="10"/>
        <v>26098038</v>
      </c>
      <c r="AS8" s="153">
        <f t="shared" si="10"/>
        <v>23800605</v>
      </c>
      <c r="AT8" s="187">
        <v>40427144</v>
      </c>
      <c r="AU8" s="152">
        <v>37476017</v>
      </c>
      <c r="AV8" s="152">
        <f t="shared" si="11"/>
        <v>40427144</v>
      </c>
      <c r="AW8" s="153">
        <f t="shared" si="11"/>
        <v>37476017</v>
      </c>
      <c r="AX8" s="151">
        <v>1951882</v>
      </c>
      <c r="AY8" s="171">
        <v>1685498</v>
      </c>
      <c r="AZ8" s="171">
        <f t="shared" si="12"/>
        <v>1951882</v>
      </c>
      <c r="BA8" s="172">
        <f t="shared" si="12"/>
        <v>1685498</v>
      </c>
      <c r="BB8" s="186">
        <v>2138051</v>
      </c>
      <c r="BC8" s="148">
        <v>1514723</v>
      </c>
      <c r="BD8" s="148">
        <f t="shared" si="13"/>
        <v>2138051</v>
      </c>
      <c r="BE8" s="149">
        <f t="shared" si="13"/>
        <v>1514723</v>
      </c>
      <c r="BF8" s="187">
        <v>7022093</v>
      </c>
      <c r="BG8" s="152">
        <v>5286208</v>
      </c>
      <c r="BH8" s="152">
        <f t="shared" si="14"/>
        <v>7022093</v>
      </c>
      <c r="BI8" s="153">
        <f t="shared" si="14"/>
        <v>5286208</v>
      </c>
      <c r="BJ8" s="187">
        <v>17400256</v>
      </c>
      <c r="BK8" s="152">
        <v>15540814</v>
      </c>
      <c r="BL8" s="152">
        <f t="shared" si="15"/>
        <v>17400256</v>
      </c>
      <c r="BM8" s="153">
        <f t="shared" si="15"/>
        <v>15540814</v>
      </c>
      <c r="BN8" s="187">
        <v>6035415</v>
      </c>
      <c r="BO8" s="152">
        <v>5103381</v>
      </c>
      <c r="BP8" s="152">
        <f t="shared" si="16"/>
        <v>6035415</v>
      </c>
      <c r="BQ8" s="152">
        <f t="shared" si="16"/>
        <v>5103381</v>
      </c>
      <c r="BR8" s="187">
        <v>6120669</v>
      </c>
      <c r="BS8" s="152">
        <v>5520396</v>
      </c>
      <c r="BT8" s="152">
        <f t="shared" si="17"/>
        <v>6120669</v>
      </c>
      <c r="BU8" s="153">
        <f t="shared" si="17"/>
        <v>5520396</v>
      </c>
      <c r="BV8" s="1644"/>
      <c r="BW8" s="148"/>
      <c r="BX8" s="148"/>
      <c r="BY8" s="149"/>
      <c r="BZ8" s="1450">
        <v>35399641</v>
      </c>
      <c r="CA8" s="1369">
        <v>26826437</v>
      </c>
      <c r="CB8" s="1369">
        <f t="shared" si="18"/>
        <v>35399641</v>
      </c>
      <c r="CC8" s="1370">
        <f t="shared" si="18"/>
        <v>26826437</v>
      </c>
      <c r="CD8" s="323">
        <v>1501335</v>
      </c>
      <c r="CE8" s="173">
        <v>1263238</v>
      </c>
      <c r="CF8" s="173">
        <f t="shared" si="19"/>
        <v>1501335</v>
      </c>
      <c r="CG8" s="1608">
        <f t="shared" si="19"/>
        <v>1263238</v>
      </c>
      <c r="CH8" s="701">
        <v>2289132</v>
      </c>
      <c r="CI8" s="175">
        <v>1824322</v>
      </c>
      <c r="CJ8" s="175">
        <f t="shared" si="20"/>
        <v>2289132</v>
      </c>
      <c r="CK8" s="176">
        <f t="shared" si="20"/>
        <v>1824322</v>
      </c>
      <c r="CL8" s="151">
        <v>7248877</v>
      </c>
      <c r="CM8" s="152">
        <v>5482245</v>
      </c>
      <c r="CN8" s="152">
        <f t="shared" si="21"/>
        <v>7248877</v>
      </c>
      <c r="CO8" s="153">
        <f t="shared" si="21"/>
        <v>5482245</v>
      </c>
      <c r="CP8" s="177">
        <f t="shared" si="22"/>
        <v>186099903</v>
      </c>
      <c r="CQ8" s="177">
        <f t="shared" si="22"/>
        <v>157645760</v>
      </c>
      <c r="CR8" s="177">
        <f t="shared" si="23"/>
        <v>186099903</v>
      </c>
      <c r="CS8" s="178">
        <f t="shared" si="23"/>
        <v>157645760</v>
      </c>
      <c r="CT8" s="701">
        <v>417417005</v>
      </c>
      <c r="CU8" s="175">
        <v>391634290</v>
      </c>
      <c r="CV8" s="175">
        <f t="shared" si="24"/>
        <v>417417005</v>
      </c>
      <c r="CW8" s="176">
        <f t="shared" si="24"/>
        <v>391634290</v>
      </c>
      <c r="CX8" s="177">
        <f t="shared" si="25"/>
        <v>603516908</v>
      </c>
      <c r="CY8" s="177">
        <f t="shared" si="25"/>
        <v>549280050</v>
      </c>
      <c r="CZ8" s="177">
        <f t="shared" si="26"/>
        <v>603516908</v>
      </c>
      <c r="DA8" s="178">
        <f t="shared" si="26"/>
        <v>549280050</v>
      </c>
    </row>
    <row r="9" spans="1:105" s="144" customFormat="1" ht="14.25">
      <c r="A9" s="686" t="s">
        <v>25</v>
      </c>
      <c r="B9" s="697">
        <v>2001653</v>
      </c>
      <c r="C9" s="165">
        <v>3787820</v>
      </c>
      <c r="D9" s="165">
        <f t="shared" si="0"/>
        <v>2001653</v>
      </c>
      <c r="E9" s="166">
        <f t="shared" si="0"/>
        <v>3787820</v>
      </c>
      <c r="F9" s="187">
        <v>10002</v>
      </c>
      <c r="G9" s="152">
        <v>6926</v>
      </c>
      <c r="H9" s="152">
        <f t="shared" si="1"/>
        <v>10002</v>
      </c>
      <c r="I9" s="167">
        <f t="shared" si="1"/>
        <v>6926</v>
      </c>
      <c r="J9" s="151">
        <v>35623</v>
      </c>
      <c r="K9" s="152">
        <v>27485</v>
      </c>
      <c r="L9" s="152">
        <f t="shared" si="2"/>
        <v>35623</v>
      </c>
      <c r="M9" s="153">
        <f t="shared" si="2"/>
        <v>27485</v>
      </c>
      <c r="N9" s="151">
        <v>6833267</v>
      </c>
      <c r="O9" s="152">
        <v>4383506</v>
      </c>
      <c r="P9" s="152">
        <f t="shared" si="3"/>
        <v>6833267</v>
      </c>
      <c r="Q9" s="153">
        <f t="shared" si="3"/>
        <v>4383506</v>
      </c>
      <c r="R9" s="187">
        <v>710252</v>
      </c>
      <c r="S9" s="152">
        <v>724249</v>
      </c>
      <c r="T9" s="152">
        <f t="shared" si="4"/>
        <v>710252</v>
      </c>
      <c r="U9" s="153">
        <f t="shared" si="4"/>
        <v>724249</v>
      </c>
      <c r="V9" s="151">
        <v>2661540</v>
      </c>
      <c r="W9" s="152">
        <v>1418558</v>
      </c>
      <c r="X9" s="152">
        <f t="shared" si="5"/>
        <v>2661540</v>
      </c>
      <c r="Y9" s="153">
        <f t="shared" si="5"/>
        <v>1418558</v>
      </c>
      <c r="Z9" s="187">
        <v>1081803</v>
      </c>
      <c r="AA9" s="152">
        <v>656</v>
      </c>
      <c r="AB9" s="152">
        <f t="shared" si="6"/>
        <v>1081803</v>
      </c>
      <c r="AC9" s="153">
        <f t="shared" si="6"/>
        <v>656</v>
      </c>
      <c r="AD9" s="187">
        <v>82653</v>
      </c>
      <c r="AE9" s="152">
        <v>131876</v>
      </c>
      <c r="AF9" s="152">
        <f t="shared" si="7"/>
        <v>82653</v>
      </c>
      <c r="AG9" s="153">
        <f t="shared" si="7"/>
        <v>131876</v>
      </c>
      <c r="AH9" s="187">
        <v>312736</v>
      </c>
      <c r="AI9" s="152">
        <v>87557</v>
      </c>
      <c r="AJ9" s="152">
        <f t="shared" si="8"/>
        <v>312736</v>
      </c>
      <c r="AK9" s="153">
        <f t="shared" si="8"/>
        <v>87557</v>
      </c>
      <c r="AL9" s="187">
        <v>161090</v>
      </c>
      <c r="AM9" s="152">
        <v>125743</v>
      </c>
      <c r="AN9" s="152">
        <f t="shared" si="9"/>
        <v>161090</v>
      </c>
      <c r="AO9" s="153">
        <f t="shared" si="9"/>
        <v>125743</v>
      </c>
      <c r="AP9" s="187">
        <v>25993834</v>
      </c>
      <c r="AQ9" s="152">
        <v>18652141</v>
      </c>
      <c r="AR9" s="152">
        <f t="shared" si="10"/>
        <v>25993834</v>
      </c>
      <c r="AS9" s="153">
        <f t="shared" si="10"/>
        <v>18652141</v>
      </c>
      <c r="AT9" s="187">
        <v>10168103</v>
      </c>
      <c r="AU9" s="152">
        <v>5115863</v>
      </c>
      <c r="AV9" s="152">
        <f t="shared" si="11"/>
        <v>10168103</v>
      </c>
      <c r="AW9" s="153">
        <f t="shared" si="11"/>
        <v>5115863</v>
      </c>
      <c r="AX9" s="151">
        <v>529839</v>
      </c>
      <c r="AY9" s="171">
        <v>593006</v>
      </c>
      <c r="AZ9" s="171">
        <f t="shared" si="12"/>
        <v>529839</v>
      </c>
      <c r="BA9" s="172">
        <f t="shared" si="12"/>
        <v>593006</v>
      </c>
      <c r="BB9" s="186">
        <v>3822825</v>
      </c>
      <c r="BC9" s="148">
        <v>2887160</v>
      </c>
      <c r="BD9" s="148">
        <f t="shared" si="13"/>
        <v>3822825</v>
      </c>
      <c r="BE9" s="149">
        <f t="shared" si="13"/>
        <v>2887160</v>
      </c>
      <c r="BF9" s="187">
        <v>3937086</v>
      </c>
      <c r="BG9" s="152">
        <v>2999141</v>
      </c>
      <c r="BH9" s="152">
        <f t="shared" si="14"/>
        <v>3937086</v>
      </c>
      <c r="BI9" s="153">
        <f t="shared" si="14"/>
        <v>2999141</v>
      </c>
      <c r="BJ9" s="187">
        <v>2647283</v>
      </c>
      <c r="BK9" s="152">
        <v>2303507</v>
      </c>
      <c r="BL9" s="152">
        <f t="shared" si="15"/>
        <v>2647283</v>
      </c>
      <c r="BM9" s="153">
        <f t="shared" si="15"/>
        <v>2303507</v>
      </c>
      <c r="BN9" s="187">
        <v>687058</v>
      </c>
      <c r="BO9" s="152">
        <v>357402</v>
      </c>
      <c r="BP9" s="152">
        <f t="shared" si="16"/>
        <v>687058</v>
      </c>
      <c r="BQ9" s="152">
        <f t="shared" si="16"/>
        <v>357402</v>
      </c>
      <c r="BR9" s="187">
        <v>136835</v>
      </c>
      <c r="BS9" s="152">
        <v>161674</v>
      </c>
      <c r="BT9" s="152">
        <f t="shared" si="17"/>
        <v>136835</v>
      </c>
      <c r="BU9" s="153">
        <f t="shared" si="17"/>
        <v>161674</v>
      </c>
      <c r="BV9" s="1644"/>
      <c r="BW9" s="148"/>
      <c r="BX9" s="148"/>
      <c r="BY9" s="149"/>
      <c r="BZ9" s="1450">
        <v>15101258</v>
      </c>
      <c r="CA9" s="1369">
        <v>8666678</v>
      </c>
      <c r="CB9" s="1369">
        <f t="shared" si="18"/>
        <v>15101258</v>
      </c>
      <c r="CC9" s="1370">
        <f t="shared" si="18"/>
        <v>8666678</v>
      </c>
      <c r="CD9" s="323">
        <v>577872</v>
      </c>
      <c r="CE9" s="173">
        <v>634773</v>
      </c>
      <c r="CF9" s="173">
        <f t="shared" si="19"/>
        <v>577872</v>
      </c>
      <c r="CG9" s="1608">
        <f t="shared" si="19"/>
        <v>634773</v>
      </c>
      <c r="CH9" s="701">
        <v>241041</v>
      </c>
      <c r="CI9" s="175">
        <v>179365</v>
      </c>
      <c r="CJ9" s="175">
        <f t="shared" si="20"/>
        <v>241041</v>
      </c>
      <c r="CK9" s="176">
        <f t="shared" si="20"/>
        <v>179365</v>
      </c>
      <c r="CL9" s="151">
        <v>1161958</v>
      </c>
      <c r="CM9" s="152">
        <v>14077</v>
      </c>
      <c r="CN9" s="152">
        <f t="shared" si="21"/>
        <v>1161958</v>
      </c>
      <c r="CO9" s="153">
        <f t="shared" si="21"/>
        <v>14077</v>
      </c>
      <c r="CP9" s="177">
        <f t="shared" si="22"/>
        <v>78895611</v>
      </c>
      <c r="CQ9" s="177">
        <f t="shared" si="22"/>
        <v>53259163</v>
      </c>
      <c r="CR9" s="177">
        <f t="shared" si="23"/>
        <v>78895611</v>
      </c>
      <c r="CS9" s="178">
        <f t="shared" si="23"/>
        <v>53259163</v>
      </c>
      <c r="CT9" s="701">
        <v>258162538</v>
      </c>
      <c r="CU9" s="175">
        <v>196976085</v>
      </c>
      <c r="CV9" s="175">
        <f t="shared" si="24"/>
        <v>258162538</v>
      </c>
      <c r="CW9" s="176">
        <f t="shared" si="24"/>
        <v>196976085</v>
      </c>
      <c r="CX9" s="177">
        <f t="shared" si="25"/>
        <v>337058149</v>
      </c>
      <c r="CY9" s="177">
        <f t="shared" si="25"/>
        <v>250235248</v>
      </c>
      <c r="CZ9" s="177">
        <f t="shared" si="26"/>
        <v>337058149</v>
      </c>
      <c r="DA9" s="178">
        <f t="shared" si="26"/>
        <v>250235248</v>
      </c>
    </row>
    <row r="10" spans="1:105" s="144" customFormat="1" ht="14.25">
      <c r="A10" s="689" t="s">
        <v>26</v>
      </c>
      <c r="B10" s="141">
        <f>SUM(B7:B9)</f>
        <v>12606935</v>
      </c>
      <c r="C10" s="141">
        <f aca="true" t="shared" si="27" ref="C10:BN10">SUM(C7:C9)</f>
        <v>12672599</v>
      </c>
      <c r="D10" s="141">
        <f t="shared" si="27"/>
        <v>12606935</v>
      </c>
      <c r="E10" s="868">
        <f t="shared" si="27"/>
        <v>12672599</v>
      </c>
      <c r="F10" s="180">
        <f t="shared" si="27"/>
        <v>1056989</v>
      </c>
      <c r="G10" s="141">
        <f t="shared" si="27"/>
        <v>893303</v>
      </c>
      <c r="H10" s="141">
        <f t="shared" si="27"/>
        <v>1056989</v>
      </c>
      <c r="I10" s="860">
        <f t="shared" si="27"/>
        <v>893303</v>
      </c>
      <c r="J10" s="141">
        <f t="shared" si="27"/>
        <v>2205253</v>
      </c>
      <c r="K10" s="141">
        <f t="shared" si="27"/>
        <v>2199674</v>
      </c>
      <c r="L10" s="141">
        <f t="shared" si="27"/>
        <v>2205253</v>
      </c>
      <c r="M10" s="868">
        <f t="shared" si="27"/>
        <v>2199674</v>
      </c>
      <c r="N10" s="141">
        <f t="shared" si="27"/>
        <v>18366955</v>
      </c>
      <c r="O10" s="141">
        <f t="shared" si="27"/>
        <v>13614681</v>
      </c>
      <c r="P10" s="141">
        <f t="shared" si="27"/>
        <v>18366955</v>
      </c>
      <c r="Q10" s="868">
        <f t="shared" si="27"/>
        <v>13614681</v>
      </c>
      <c r="R10" s="180">
        <f t="shared" si="27"/>
        <v>4146848</v>
      </c>
      <c r="S10" s="141">
        <f t="shared" si="27"/>
        <v>3653277</v>
      </c>
      <c r="T10" s="141">
        <f t="shared" si="27"/>
        <v>4146848</v>
      </c>
      <c r="U10" s="868">
        <f t="shared" si="27"/>
        <v>3653277</v>
      </c>
      <c r="V10" s="141">
        <f t="shared" si="27"/>
        <v>8522289</v>
      </c>
      <c r="W10" s="141">
        <f t="shared" si="27"/>
        <v>6675009</v>
      </c>
      <c r="X10" s="141">
        <f t="shared" si="27"/>
        <v>8522289</v>
      </c>
      <c r="Y10" s="868">
        <f t="shared" si="27"/>
        <v>6675009</v>
      </c>
      <c r="Z10" s="180">
        <f t="shared" si="27"/>
        <v>2999791</v>
      </c>
      <c r="AA10" s="141">
        <f t="shared" si="27"/>
        <v>1527878</v>
      </c>
      <c r="AB10" s="141">
        <f t="shared" si="27"/>
        <v>2999791</v>
      </c>
      <c r="AC10" s="868">
        <f t="shared" si="27"/>
        <v>1527878</v>
      </c>
      <c r="AD10" s="180">
        <f t="shared" si="27"/>
        <v>1646094</v>
      </c>
      <c r="AE10" s="141">
        <f t="shared" si="27"/>
        <v>1251213</v>
      </c>
      <c r="AF10" s="141">
        <f t="shared" si="27"/>
        <v>1646094</v>
      </c>
      <c r="AG10" s="868">
        <f t="shared" si="27"/>
        <v>1251213</v>
      </c>
      <c r="AH10" s="180">
        <f t="shared" si="27"/>
        <v>5723534</v>
      </c>
      <c r="AI10" s="141">
        <f t="shared" si="27"/>
        <v>5043626</v>
      </c>
      <c r="AJ10" s="141">
        <f t="shared" si="27"/>
        <v>5723534</v>
      </c>
      <c r="AK10" s="868">
        <f t="shared" si="27"/>
        <v>5043626</v>
      </c>
      <c r="AL10" s="180">
        <f t="shared" si="27"/>
        <v>2347064</v>
      </c>
      <c r="AM10" s="141">
        <f t="shared" si="27"/>
        <v>1584467</v>
      </c>
      <c r="AN10" s="141">
        <f t="shared" si="27"/>
        <v>2347064</v>
      </c>
      <c r="AO10" s="868">
        <f t="shared" si="27"/>
        <v>1584467</v>
      </c>
      <c r="AP10" s="180">
        <f t="shared" si="27"/>
        <v>65357676</v>
      </c>
      <c r="AQ10" s="141">
        <f t="shared" si="27"/>
        <v>50577032</v>
      </c>
      <c r="AR10" s="141">
        <f t="shared" si="27"/>
        <v>65357676</v>
      </c>
      <c r="AS10" s="868">
        <f t="shared" si="27"/>
        <v>50577032</v>
      </c>
      <c r="AT10" s="180">
        <f t="shared" si="27"/>
        <v>63292782</v>
      </c>
      <c r="AU10" s="141">
        <f t="shared" si="27"/>
        <v>55179020</v>
      </c>
      <c r="AV10" s="141">
        <f t="shared" si="27"/>
        <v>63292782</v>
      </c>
      <c r="AW10" s="868">
        <f t="shared" si="27"/>
        <v>55179020</v>
      </c>
      <c r="AX10" s="141">
        <f t="shared" si="27"/>
        <v>2981106</v>
      </c>
      <c r="AY10" s="141">
        <f t="shared" si="27"/>
        <v>2904290</v>
      </c>
      <c r="AZ10" s="141">
        <f t="shared" si="27"/>
        <v>2981106</v>
      </c>
      <c r="BA10" s="868">
        <f t="shared" si="27"/>
        <v>2904290</v>
      </c>
      <c r="BB10" s="180">
        <f t="shared" si="27"/>
        <v>7148324</v>
      </c>
      <c r="BC10" s="141">
        <f t="shared" si="27"/>
        <v>5399169</v>
      </c>
      <c r="BD10" s="141">
        <f t="shared" si="27"/>
        <v>7148324</v>
      </c>
      <c r="BE10" s="868">
        <f t="shared" si="27"/>
        <v>5399169</v>
      </c>
      <c r="BF10" s="180">
        <f t="shared" si="27"/>
        <v>16402505</v>
      </c>
      <c r="BG10" s="141">
        <f t="shared" si="27"/>
        <v>11877337</v>
      </c>
      <c r="BH10" s="141">
        <f t="shared" si="27"/>
        <v>16402505</v>
      </c>
      <c r="BI10" s="868">
        <f t="shared" si="27"/>
        <v>11877337</v>
      </c>
      <c r="BJ10" s="180">
        <f t="shared" si="27"/>
        <v>26508140</v>
      </c>
      <c r="BK10" s="141">
        <f t="shared" si="27"/>
        <v>23204974</v>
      </c>
      <c r="BL10" s="141">
        <f t="shared" si="27"/>
        <v>26508140</v>
      </c>
      <c r="BM10" s="868">
        <f t="shared" si="27"/>
        <v>23204974</v>
      </c>
      <c r="BN10" s="180">
        <f t="shared" si="27"/>
        <v>9286065</v>
      </c>
      <c r="BO10" s="141">
        <f aca="true" t="shared" si="28" ref="BO10:CN10">SUM(BO7:BO9)</f>
        <v>7782808</v>
      </c>
      <c r="BP10" s="141">
        <f t="shared" si="28"/>
        <v>9286065</v>
      </c>
      <c r="BQ10" s="868">
        <f t="shared" si="28"/>
        <v>7782808</v>
      </c>
      <c r="BR10" s="180">
        <f t="shared" si="28"/>
        <v>8391036</v>
      </c>
      <c r="BS10" s="141">
        <f t="shared" si="28"/>
        <v>7593192</v>
      </c>
      <c r="BT10" s="141">
        <f t="shared" si="28"/>
        <v>8391036</v>
      </c>
      <c r="BU10" s="868">
        <f t="shared" si="28"/>
        <v>7593192</v>
      </c>
      <c r="BV10" s="180">
        <f t="shared" si="28"/>
        <v>0</v>
      </c>
      <c r="BW10" s="141">
        <f t="shared" si="28"/>
        <v>0</v>
      </c>
      <c r="BX10" s="141">
        <f t="shared" si="28"/>
        <v>0</v>
      </c>
      <c r="BY10" s="868">
        <f t="shared" si="28"/>
        <v>0</v>
      </c>
      <c r="BZ10" s="180">
        <f t="shared" si="28"/>
        <v>66944377</v>
      </c>
      <c r="CA10" s="141">
        <f t="shared" si="28"/>
        <v>47589646</v>
      </c>
      <c r="CB10" s="141">
        <f t="shared" si="28"/>
        <v>66944377</v>
      </c>
      <c r="CC10" s="868">
        <f t="shared" si="28"/>
        <v>47589646</v>
      </c>
      <c r="CD10" s="180">
        <f t="shared" si="28"/>
        <v>2887936</v>
      </c>
      <c r="CE10" s="141">
        <f t="shared" si="28"/>
        <v>2775292</v>
      </c>
      <c r="CF10" s="141">
        <f t="shared" si="28"/>
        <v>2887936</v>
      </c>
      <c r="CG10" s="868">
        <f t="shared" si="28"/>
        <v>2775292</v>
      </c>
      <c r="CH10" s="180">
        <f t="shared" si="28"/>
        <v>3454097</v>
      </c>
      <c r="CI10" s="141">
        <f t="shared" si="28"/>
        <v>2638364</v>
      </c>
      <c r="CJ10" s="141">
        <f t="shared" si="28"/>
        <v>3454097</v>
      </c>
      <c r="CK10" s="868">
        <f t="shared" si="28"/>
        <v>2638364</v>
      </c>
      <c r="CL10" s="141">
        <f t="shared" si="28"/>
        <v>13028346</v>
      </c>
      <c r="CM10" s="141">
        <f t="shared" si="28"/>
        <v>8374484</v>
      </c>
      <c r="CN10" s="141">
        <f t="shared" si="28"/>
        <v>13028346</v>
      </c>
      <c r="CO10" s="1159">
        <f>SUM(CO7:CO9)</f>
        <v>8374484</v>
      </c>
      <c r="CP10" s="868">
        <f>SUM(CP7:CP9)</f>
        <v>345304142</v>
      </c>
      <c r="CQ10" s="177">
        <f t="shared" si="22"/>
        <v>275011335</v>
      </c>
      <c r="CR10" s="177">
        <f t="shared" si="23"/>
        <v>345304142</v>
      </c>
      <c r="CS10" s="178">
        <f t="shared" si="23"/>
        <v>275011335</v>
      </c>
      <c r="CT10" s="189">
        <f>SUM(CT7:CT9)</f>
        <v>865710979</v>
      </c>
      <c r="CU10" s="189">
        <f>SUM(CU7:CU9)</f>
        <v>639180800</v>
      </c>
      <c r="CV10" s="189">
        <f>SUM(CV7:CV9)</f>
        <v>865710979</v>
      </c>
      <c r="CW10" s="191">
        <f>SUM(CW7:CW9)</f>
        <v>639180800</v>
      </c>
      <c r="CX10" s="177">
        <f t="shared" si="25"/>
        <v>1211015121</v>
      </c>
      <c r="CY10" s="177">
        <f t="shared" si="25"/>
        <v>914192135</v>
      </c>
      <c r="CZ10" s="177">
        <f t="shared" si="26"/>
        <v>1211015121</v>
      </c>
      <c r="DA10" s="178">
        <f t="shared" si="26"/>
        <v>914192135</v>
      </c>
    </row>
    <row r="11" spans="1:105" s="144" customFormat="1" ht="14.25">
      <c r="A11" s="686" t="s">
        <v>27</v>
      </c>
      <c r="B11" s="697"/>
      <c r="C11" s="165"/>
      <c r="D11" s="165"/>
      <c r="E11" s="166"/>
      <c r="F11" s="187"/>
      <c r="G11" s="152"/>
      <c r="H11" s="152"/>
      <c r="I11" s="167"/>
      <c r="J11" s="151"/>
      <c r="K11" s="152"/>
      <c r="L11" s="152"/>
      <c r="M11" s="153"/>
      <c r="N11" s="151"/>
      <c r="O11" s="152"/>
      <c r="P11" s="152"/>
      <c r="Q11" s="153"/>
      <c r="R11" s="187"/>
      <c r="S11" s="152"/>
      <c r="T11" s="152"/>
      <c r="U11" s="153"/>
      <c r="V11" s="151"/>
      <c r="W11" s="152"/>
      <c r="X11" s="152"/>
      <c r="Y11" s="153"/>
      <c r="Z11" s="187"/>
      <c r="AA11" s="152"/>
      <c r="AB11" s="152"/>
      <c r="AC11" s="153"/>
      <c r="AD11" s="187"/>
      <c r="AE11" s="152"/>
      <c r="AF11" s="152"/>
      <c r="AG11" s="153"/>
      <c r="AH11" s="187"/>
      <c r="AI11" s="152"/>
      <c r="AJ11" s="152"/>
      <c r="AK11" s="153"/>
      <c r="AL11" s="187"/>
      <c r="AM11" s="152"/>
      <c r="AN11" s="152"/>
      <c r="AO11" s="153"/>
      <c r="AP11" s="187"/>
      <c r="AQ11" s="152"/>
      <c r="AR11" s="152"/>
      <c r="AS11" s="153"/>
      <c r="AT11" s="187"/>
      <c r="AU11" s="152"/>
      <c r="AV11" s="152"/>
      <c r="AW11" s="153"/>
      <c r="AX11" s="151"/>
      <c r="AY11" s="152"/>
      <c r="AZ11" s="152"/>
      <c r="BA11" s="153"/>
      <c r="BB11" s="186"/>
      <c r="BC11" s="148"/>
      <c r="BD11" s="148"/>
      <c r="BE11" s="149"/>
      <c r="BF11" s="187"/>
      <c r="BG11" s="152"/>
      <c r="BH11" s="152"/>
      <c r="BI11" s="153"/>
      <c r="BJ11" s="187"/>
      <c r="BK11" s="152"/>
      <c r="BL11" s="152"/>
      <c r="BM11" s="153"/>
      <c r="BN11" s="187"/>
      <c r="BO11" s="152"/>
      <c r="BP11" s="152"/>
      <c r="BQ11" s="153"/>
      <c r="BR11" s="187"/>
      <c r="BS11" s="152"/>
      <c r="BT11" s="152"/>
      <c r="BU11" s="153"/>
      <c r="BV11" s="1644"/>
      <c r="BW11" s="148"/>
      <c r="BX11" s="148"/>
      <c r="BY11" s="149"/>
      <c r="BZ11" s="698"/>
      <c r="CA11" s="142"/>
      <c r="CB11" s="142"/>
      <c r="CC11" s="143"/>
      <c r="CD11" s="323"/>
      <c r="CE11" s="173"/>
      <c r="CF11" s="173"/>
      <c r="CG11" s="1608"/>
      <c r="CH11" s="701"/>
      <c r="CI11" s="175"/>
      <c r="CJ11" s="175"/>
      <c r="CK11" s="176"/>
      <c r="CL11" s="151"/>
      <c r="CM11" s="152"/>
      <c r="CN11" s="152"/>
      <c r="CO11" s="153"/>
      <c r="CP11" s="177"/>
      <c r="CQ11" s="177"/>
      <c r="CR11" s="177"/>
      <c r="CS11" s="178"/>
      <c r="CT11" s="701"/>
      <c r="CU11" s="175"/>
      <c r="CV11" s="175"/>
      <c r="CW11" s="176"/>
      <c r="CX11" s="177"/>
      <c r="CY11" s="177"/>
      <c r="CZ11" s="177"/>
      <c r="DA11" s="178"/>
    </row>
    <row r="12" spans="1:105" s="144" customFormat="1" ht="14.25">
      <c r="A12" s="686" t="s">
        <v>28</v>
      </c>
      <c r="B12" s="697">
        <f>B9</f>
        <v>2001653</v>
      </c>
      <c r="C12" s="165">
        <f>C10</f>
        <v>12672599</v>
      </c>
      <c r="D12" s="697">
        <f>D9</f>
        <v>2001653</v>
      </c>
      <c r="E12" s="166">
        <f>E10</f>
        <v>12672599</v>
      </c>
      <c r="F12" s="189">
        <f>F10</f>
        <v>1056989</v>
      </c>
      <c r="G12" s="189">
        <f aca="true" t="shared" si="29" ref="G12:M12">G10</f>
        <v>893303</v>
      </c>
      <c r="H12" s="189">
        <f t="shared" si="29"/>
        <v>1056989</v>
      </c>
      <c r="I12" s="190">
        <f t="shared" si="29"/>
        <v>893303</v>
      </c>
      <c r="J12" s="177">
        <f t="shared" si="29"/>
        <v>2205253</v>
      </c>
      <c r="K12" s="189">
        <f t="shared" si="29"/>
        <v>2199674</v>
      </c>
      <c r="L12" s="189">
        <f t="shared" si="29"/>
        <v>2205253</v>
      </c>
      <c r="M12" s="191">
        <f t="shared" si="29"/>
        <v>2199674</v>
      </c>
      <c r="N12" s="177">
        <f aca="true" t="shared" si="30" ref="N12:W12">N10</f>
        <v>18366955</v>
      </c>
      <c r="O12" s="189">
        <f t="shared" si="30"/>
        <v>13614681</v>
      </c>
      <c r="P12" s="189">
        <f t="shared" si="30"/>
        <v>18366955</v>
      </c>
      <c r="Q12" s="191">
        <f t="shared" si="30"/>
        <v>13614681</v>
      </c>
      <c r="R12" s="189">
        <f t="shared" si="30"/>
        <v>4146848</v>
      </c>
      <c r="S12" s="189">
        <f t="shared" si="30"/>
        <v>3653277</v>
      </c>
      <c r="T12" s="189">
        <f t="shared" si="30"/>
        <v>4146848</v>
      </c>
      <c r="U12" s="191">
        <f t="shared" si="30"/>
        <v>3653277</v>
      </c>
      <c r="V12" s="177">
        <f t="shared" si="30"/>
        <v>8522289</v>
      </c>
      <c r="W12" s="189">
        <f t="shared" si="30"/>
        <v>6675009</v>
      </c>
      <c r="X12" s="189">
        <f aca="true" t="shared" si="31" ref="X12:AW12">X10</f>
        <v>8522289</v>
      </c>
      <c r="Y12" s="191">
        <f t="shared" si="31"/>
        <v>6675009</v>
      </c>
      <c r="Z12" s="189">
        <f t="shared" si="31"/>
        <v>2999791</v>
      </c>
      <c r="AA12" s="189">
        <f t="shared" si="31"/>
        <v>1527878</v>
      </c>
      <c r="AB12" s="189">
        <f t="shared" si="31"/>
        <v>2999791</v>
      </c>
      <c r="AC12" s="191">
        <f t="shared" si="31"/>
        <v>1527878</v>
      </c>
      <c r="AD12" s="189">
        <f t="shared" si="31"/>
        <v>1646094</v>
      </c>
      <c r="AE12" s="189">
        <f t="shared" si="31"/>
        <v>1251213</v>
      </c>
      <c r="AF12" s="189">
        <f t="shared" si="31"/>
        <v>1646094</v>
      </c>
      <c r="AG12" s="191">
        <f t="shared" si="31"/>
        <v>1251213</v>
      </c>
      <c r="AH12" s="189">
        <f t="shared" si="31"/>
        <v>5723534</v>
      </c>
      <c r="AI12" s="189">
        <f t="shared" si="31"/>
        <v>5043626</v>
      </c>
      <c r="AJ12" s="189">
        <f t="shared" si="31"/>
        <v>5723534</v>
      </c>
      <c r="AK12" s="191">
        <f t="shared" si="31"/>
        <v>5043626</v>
      </c>
      <c r="AL12" s="189">
        <f t="shared" si="31"/>
        <v>2347064</v>
      </c>
      <c r="AM12" s="189">
        <f t="shared" si="31"/>
        <v>1584467</v>
      </c>
      <c r="AN12" s="189">
        <f t="shared" si="31"/>
        <v>2347064</v>
      </c>
      <c r="AO12" s="191">
        <f t="shared" si="31"/>
        <v>1584467</v>
      </c>
      <c r="AP12" s="189">
        <f t="shared" si="31"/>
        <v>65357676</v>
      </c>
      <c r="AQ12" s="189">
        <f t="shared" si="31"/>
        <v>50577032</v>
      </c>
      <c r="AR12" s="189">
        <f t="shared" si="31"/>
        <v>65357676</v>
      </c>
      <c r="AS12" s="191">
        <f t="shared" si="31"/>
        <v>50577032</v>
      </c>
      <c r="AT12" s="189">
        <f t="shared" si="31"/>
        <v>63292782</v>
      </c>
      <c r="AU12" s="189">
        <f t="shared" si="31"/>
        <v>55179020</v>
      </c>
      <c r="AV12" s="189">
        <f t="shared" si="31"/>
        <v>63292782</v>
      </c>
      <c r="AW12" s="191">
        <f t="shared" si="31"/>
        <v>55179020</v>
      </c>
      <c r="AX12" s="151">
        <f aca="true" t="shared" si="32" ref="AX12:BG12">AX10</f>
        <v>2981106</v>
      </c>
      <c r="AY12" s="151">
        <f t="shared" si="32"/>
        <v>2904290</v>
      </c>
      <c r="AZ12" s="151">
        <f t="shared" si="32"/>
        <v>2981106</v>
      </c>
      <c r="BA12" s="1643">
        <f t="shared" si="32"/>
        <v>2904290</v>
      </c>
      <c r="BB12" s="186">
        <f t="shared" si="32"/>
        <v>7148324</v>
      </c>
      <c r="BC12" s="186">
        <f t="shared" si="32"/>
        <v>5399169</v>
      </c>
      <c r="BD12" s="186">
        <f t="shared" si="32"/>
        <v>7148324</v>
      </c>
      <c r="BE12" s="790">
        <f t="shared" si="32"/>
        <v>5399169</v>
      </c>
      <c r="BF12" s="187">
        <f t="shared" si="32"/>
        <v>16402505</v>
      </c>
      <c r="BG12" s="187">
        <f t="shared" si="32"/>
        <v>11877337</v>
      </c>
      <c r="BH12" s="187">
        <f aca="true" t="shared" si="33" ref="BH12:CK12">BH10</f>
        <v>16402505</v>
      </c>
      <c r="BI12" s="1605">
        <f t="shared" si="33"/>
        <v>11877337</v>
      </c>
      <c r="BJ12" s="187">
        <f t="shared" si="33"/>
        <v>26508140</v>
      </c>
      <c r="BK12" s="187">
        <f t="shared" si="33"/>
        <v>23204974</v>
      </c>
      <c r="BL12" s="187">
        <f t="shared" si="33"/>
        <v>26508140</v>
      </c>
      <c r="BM12" s="1605">
        <f t="shared" si="33"/>
        <v>23204974</v>
      </c>
      <c r="BN12" s="187">
        <f t="shared" si="33"/>
        <v>9286065</v>
      </c>
      <c r="BO12" s="187">
        <f t="shared" si="33"/>
        <v>7782808</v>
      </c>
      <c r="BP12" s="187">
        <f t="shared" si="33"/>
        <v>9286065</v>
      </c>
      <c r="BQ12" s="1605">
        <f t="shared" si="33"/>
        <v>7782808</v>
      </c>
      <c r="BR12" s="187">
        <f t="shared" si="33"/>
        <v>8391036</v>
      </c>
      <c r="BS12" s="187">
        <f t="shared" si="33"/>
        <v>7593192</v>
      </c>
      <c r="BT12" s="187">
        <f t="shared" si="33"/>
        <v>8391036</v>
      </c>
      <c r="BU12" s="1605">
        <f t="shared" si="33"/>
        <v>7593192</v>
      </c>
      <c r="BV12" s="187">
        <f t="shared" si="33"/>
        <v>0</v>
      </c>
      <c r="BW12" s="187">
        <f t="shared" si="33"/>
        <v>0</v>
      </c>
      <c r="BX12" s="187">
        <f t="shared" si="33"/>
        <v>0</v>
      </c>
      <c r="BY12" s="1605">
        <f t="shared" si="33"/>
        <v>0</v>
      </c>
      <c r="BZ12" s="187">
        <f t="shared" si="33"/>
        <v>66944377</v>
      </c>
      <c r="CA12" s="187">
        <f t="shared" si="33"/>
        <v>47589646</v>
      </c>
      <c r="CB12" s="187">
        <f t="shared" si="33"/>
        <v>66944377</v>
      </c>
      <c r="CC12" s="1605">
        <f t="shared" si="33"/>
        <v>47589646</v>
      </c>
      <c r="CD12" s="187">
        <f t="shared" si="33"/>
        <v>2887936</v>
      </c>
      <c r="CE12" s="187">
        <f t="shared" si="33"/>
        <v>2775292</v>
      </c>
      <c r="CF12" s="187">
        <f t="shared" si="33"/>
        <v>2887936</v>
      </c>
      <c r="CG12" s="1605">
        <f t="shared" si="33"/>
        <v>2775292</v>
      </c>
      <c r="CH12" s="187">
        <f t="shared" si="33"/>
        <v>3454097</v>
      </c>
      <c r="CI12" s="187">
        <f t="shared" si="33"/>
        <v>2638364</v>
      </c>
      <c r="CJ12" s="187">
        <f t="shared" si="33"/>
        <v>3454097</v>
      </c>
      <c r="CK12" s="1605">
        <f t="shared" si="33"/>
        <v>2638364</v>
      </c>
      <c r="CL12" s="174">
        <f>CL10</f>
        <v>13028346</v>
      </c>
      <c r="CM12" s="175">
        <f>CM10</f>
        <v>8374484</v>
      </c>
      <c r="CN12" s="175">
        <f>CN10</f>
        <v>13028346</v>
      </c>
      <c r="CO12" s="176">
        <f>CO10</f>
        <v>8374484</v>
      </c>
      <c r="CP12" s="1641">
        <f>CP10</f>
        <v>345304142</v>
      </c>
      <c r="CQ12" s="177">
        <f t="shared" si="22"/>
        <v>275011335</v>
      </c>
      <c r="CR12" s="177">
        <f>SUM(D12+H12+L12+P12+T12+X12+AB12+AF12+AJ12+AN12+AR12+AV12+AZ12+BD12+BH12+BL12+BP12+BT12+BX12+CB12+CF12+CJ12+CN12)</f>
        <v>334698860</v>
      </c>
      <c r="CS12" s="178">
        <f>SUM(E12+I12+M12+Q12+U12+Y12+AC12+AG12+AK12+AO12+AS12+AW12+BA12+BE12+BI12+BM12+BQ12+BU12+BY12+CC12+CG12+CK12+CO12)</f>
        <v>275011335</v>
      </c>
      <c r="CT12" s="701">
        <f>CT10</f>
        <v>865710979</v>
      </c>
      <c r="CU12" s="701">
        <f>CU10</f>
        <v>639180800</v>
      </c>
      <c r="CV12" s="701">
        <f>CV10</f>
        <v>865710979</v>
      </c>
      <c r="CW12" s="1650">
        <f>CW10</f>
        <v>639180800</v>
      </c>
      <c r="CX12" s="177">
        <f>CP12+CT12</f>
        <v>1211015121</v>
      </c>
      <c r="CY12" s="177">
        <f>CQ12+CU12</f>
        <v>914192135</v>
      </c>
      <c r="CZ12" s="177">
        <f t="shared" si="26"/>
        <v>1200409839</v>
      </c>
      <c r="DA12" s="178">
        <f t="shared" si="26"/>
        <v>914192135</v>
      </c>
    </row>
    <row r="13" spans="1:105" s="144" customFormat="1" ht="14.25">
      <c r="A13" s="140" t="s">
        <v>29</v>
      </c>
      <c r="B13" s="697"/>
      <c r="C13" s="165"/>
      <c r="D13" s="165"/>
      <c r="E13" s="166"/>
      <c r="F13" s="187"/>
      <c r="G13" s="152"/>
      <c r="H13" s="152"/>
      <c r="I13" s="167"/>
      <c r="J13" s="151"/>
      <c r="K13" s="152"/>
      <c r="L13" s="152"/>
      <c r="M13" s="153"/>
      <c r="N13" s="151"/>
      <c r="O13" s="152"/>
      <c r="P13" s="152"/>
      <c r="Q13" s="153"/>
      <c r="R13" s="187"/>
      <c r="S13" s="152"/>
      <c r="T13" s="152"/>
      <c r="U13" s="153"/>
      <c r="V13" s="151"/>
      <c r="W13" s="152"/>
      <c r="X13" s="152"/>
      <c r="Y13" s="153"/>
      <c r="Z13" s="187"/>
      <c r="AA13" s="152"/>
      <c r="AB13" s="152"/>
      <c r="AC13" s="153"/>
      <c r="AD13" s="187"/>
      <c r="AE13" s="152"/>
      <c r="AF13" s="152"/>
      <c r="AG13" s="153"/>
      <c r="AH13" s="187"/>
      <c r="AI13" s="152"/>
      <c r="AJ13" s="152"/>
      <c r="AK13" s="153"/>
      <c r="AL13" s="187"/>
      <c r="AM13" s="152"/>
      <c r="AN13" s="152"/>
      <c r="AO13" s="153"/>
      <c r="AP13" s="187"/>
      <c r="AQ13" s="152"/>
      <c r="AR13" s="152"/>
      <c r="AS13" s="153"/>
      <c r="AT13" s="187"/>
      <c r="AU13" s="152"/>
      <c r="AV13" s="152"/>
      <c r="AW13" s="153"/>
      <c r="AX13" s="151"/>
      <c r="AY13" s="152"/>
      <c r="AZ13" s="152"/>
      <c r="BA13" s="153"/>
      <c r="BB13" s="186"/>
      <c r="BC13" s="148"/>
      <c r="BD13" s="148"/>
      <c r="BE13" s="149"/>
      <c r="BF13" s="187"/>
      <c r="BG13" s="152"/>
      <c r="BH13" s="152"/>
      <c r="BI13" s="153"/>
      <c r="BJ13" s="187"/>
      <c r="BK13" s="152"/>
      <c r="BL13" s="152"/>
      <c r="BM13" s="153"/>
      <c r="BN13" s="187"/>
      <c r="BO13" s="152"/>
      <c r="BP13" s="152"/>
      <c r="BQ13" s="153"/>
      <c r="BR13" s="187"/>
      <c r="BS13" s="152"/>
      <c r="BT13" s="152"/>
      <c r="BU13" s="153"/>
      <c r="BV13" s="1644"/>
      <c r="BW13" s="148"/>
      <c r="BX13" s="148"/>
      <c r="BY13" s="149"/>
      <c r="BZ13" s="1645"/>
      <c r="CA13" s="1367"/>
      <c r="CB13" s="142"/>
      <c r="CC13" s="143"/>
      <c r="CD13" s="323"/>
      <c r="CE13" s="173"/>
      <c r="CF13" s="173"/>
      <c r="CG13" s="1608"/>
      <c r="CH13" s="701"/>
      <c r="CI13" s="175"/>
      <c r="CJ13" s="175"/>
      <c r="CK13" s="176"/>
      <c r="CL13" s="151"/>
      <c r="CM13" s="152"/>
      <c r="CN13" s="152"/>
      <c r="CO13" s="153"/>
      <c r="CP13" s="177"/>
      <c r="CQ13" s="177"/>
      <c r="CR13" s="177"/>
      <c r="CS13" s="178"/>
      <c r="CT13" s="701"/>
      <c r="CU13" s="175"/>
      <c r="CV13" s="175"/>
      <c r="CW13" s="176"/>
      <c r="CX13" s="177"/>
      <c r="CY13" s="177"/>
      <c r="CZ13" s="177"/>
      <c r="DA13" s="178"/>
    </row>
    <row r="14" spans="1:105" s="854" customFormat="1" ht="15" thickBot="1">
      <c r="A14" s="835" t="s">
        <v>26</v>
      </c>
      <c r="B14" s="836">
        <f>B10</f>
        <v>12606935</v>
      </c>
      <c r="C14" s="837">
        <f>C10</f>
        <v>12672599</v>
      </c>
      <c r="D14" s="837">
        <f aca="true" t="shared" si="34" ref="D14:AS14">D10</f>
        <v>12606935</v>
      </c>
      <c r="E14" s="838">
        <f t="shared" si="34"/>
        <v>12672599</v>
      </c>
      <c r="F14" s="839">
        <f t="shared" si="34"/>
        <v>1056989</v>
      </c>
      <c r="G14" s="839">
        <f t="shared" si="34"/>
        <v>893303</v>
      </c>
      <c r="H14" s="839">
        <f t="shared" si="34"/>
        <v>1056989</v>
      </c>
      <c r="I14" s="840">
        <f t="shared" si="34"/>
        <v>893303</v>
      </c>
      <c r="J14" s="836">
        <f t="shared" si="34"/>
        <v>2205253</v>
      </c>
      <c r="K14" s="839">
        <f t="shared" si="34"/>
        <v>2199674</v>
      </c>
      <c r="L14" s="839">
        <f t="shared" si="34"/>
        <v>2205253</v>
      </c>
      <c r="M14" s="841">
        <f t="shared" si="34"/>
        <v>2199674</v>
      </c>
      <c r="N14" s="836">
        <f t="shared" si="34"/>
        <v>18366955</v>
      </c>
      <c r="O14" s="839">
        <f t="shared" si="34"/>
        <v>13614681</v>
      </c>
      <c r="P14" s="839">
        <f t="shared" si="34"/>
        <v>18366955</v>
      </c>
      <c r="Q14" s="841">
        <f t="shared" si="34"/>
        <v>13614681</v>
      </c>
      <c r="R14" s="839">
        <f t="shared" si="34"/>
        <v>4146848</v>
      </c>
      <c r="S14" s="839">
        <f t="shared" si="34"/>
        <v>3653277</v>
      </c>
      <c r="T14" s="839">
        <f t="shared" si="34"/>
        <v>4146848</v>
      </c>
      <c r="U14" s="841">
        <f t="shared" si="34"/>
        <v>3653277</v>
      </c>
      <c r="V14" s="836">
        <f t="shared" si="34"/>
        <v>8522289</v>
      </c>
      <c r="W14" s="839">
        <f t="shared" si="34"/>
        <v>6675009</v>
      </c>
      <c r="X14" s="839">
        <f t="shared" si="34"/>
        <v>8522289</v>
      </c>
      <c r="Y14" s="841">
        <f t="shared" si="34"/>
        <v>6675009</v>
      </c>
      <c r="Z14" s="839">
        <f t="shared" si="34"/>
        <v>2999791</v>
      </c>
      <c r="AA14" s="839">
        <f t="shared" si="34"/>
        <v>1527878</v>
      </c>
      <c r="AB14" s="839">
        <f t="shared" si="34"/>
        <v>2999791</v>
      </c>
      <c r="AC14" s="841">
        <f t="shared" si="34"/>
        <v>1527878</v>
      </c>
      <c r="AD14" s="839">
        <f t="shared" si="34"/>
        <v>1646094</v>
      </c>
      <c r="AE14" s="839">
        <f t="shared" si="34"/>
        <v>1251213</v>
      </c>
      <c r="AF14" s="839">
        <f t="shared" si="34"/>
        <v>1646094</v>
      </c>
      <c r="AG14" s="841">
        <f t="shared" si="34"/>
        <v>1251213</v>
      </c>
      <c r="AH14" s="839">
        <f t="shared" si="34"/>
        <v>5723534</v>
      </c>
      <c r="AI14" s="839">
        <f t="shared" si="34"/>
        <v>5043626</v>
      </c>
      <c r="AJ14" s="839">
        <f t="shared" si="34"/>
        <v>5723534</v>
      </c>
      <c r="AK14" s="841">
        <f t="shared" si="34"/>
        <v>5043626</v>
      </c>
      <c r="AL14" s="839">
        <f t="shared" si="34"/>
        <v>2347064</v>
      </c>
      <c r="AM14" s="839">
        <f t="shared" si="34"/>
        <v>1584467</v>
      </c>
      <c r="AN14" s="839">
        <f t="shared" si="34"/>
        <v>2347064</v>
      </c>
      <c r="AO14" s="841">
        <f t="shared" si="34"/>
        <v>1584467</v>
      </c>
      <c r="AP14" s="839">
        <f t="shared" si="34"/>
        <v>65357676</v>
      </c>
      <c r="AQ14" s="839">
        <f t="shared" si="34"/>
        <v>50577032</v>
      </c>
      <c r="AR14" s="839">
        <f t="shared" si="34"/>
        <v>65357676</v>
      </c>
      <c r="AS14" s="841">
        <f t="shared" si="34"/>
        <v>50577032</v>
      </c>
      <c r="AT14" s="842">
        <f aca="true" t="shared" si="35" ref="AT14:BF14">AT10</f>
        <v>63292782</v>
      </c>
      <c r="AU14" s="1160">
        <f t="shared" si="35"/>
        <v>55179020</v>
      </c>
      <c r="AV14" s="1160">
        <f t="shared" si="35"/>
        <v>63292782</v>
      </c>
      <c r="AW14" s="1161">
        <f t="shared" si="35"/>
        <v>55179020</v>
      </c>
      <c r="AX14" s="843">
        <f t="shared" si="35"/>
        <v>2981106</v>
      </c>
      <c r="AY14" s="1160">
        <f t="shared" si="35"/>
        <v>2904290</v>
      </c>
      <c r="AZ14" s="1160">
        <f t="shared" si="35"/>
        <v>2981106</v>
      </c>
      <c r="BA14" s="1161">
        <f t="shared" si="35"/>
        <v>2904290</v>
      </c>
      <c r="BB14" s="845">
        <f t="shared" si="35"/>
        <v>7148324</v>
      </c>
      <c r="BC14" s="846">
        <f t="shared" si="35"/>
        <v>5399169</v>
      </c>
      <c r="BD14" s="846">
        <f t="shared" si="35"/>
        <v>7148324</v>
      </c>
      <c r="BE14" s="847">
        <f t="shared" si="35"/>
        <v>5399169</v>
      </c>
      <c r="BF14" s="842">
        <f t="shared" si="35"/>
        <v>16402505</v>
      </c>
      <c r="BG14" s="843">
        <f aca="true" t="shared" si="36" ref="BG14:BQ14">BG10</f>
        <v>11877337</v>
      </c>
      <c r="BH14" s="843">
        <f t="shared" si="36"/>
        <v>16402505</v>
      </c>
      <c r="BI14" s="844">
        <f t="shared" si="36"/>
        <v>11877337</v>
      </c>
      <c r="BJ14" s="842">
        <f t="shared" si="36"/>
        <v>26508140</v>
      </c>
      <c r="BK14" s="1160">
        <f t="shared" si="36"/>
        <v>23204974</v>
      </c>
      <c r="BL14" s="1160">
        <f t="shared" si="36"/>
        <v>26508140</v>
      </c>
      <c r="BM14" s="1161">
        <f t="shared" si="36"/>
        <v>23204974</v>
      </c>
      <c r="BN14" s="842">
        <f t="shared" si="36"/>
        <v>9286065</v>
      </c>
      <c r="BO14" s="1160">
        <f t="shared" si="36"/>
        <v>7782808</v>
      </c>
      <c r="BP14" s="1160">
        <f t="shared" si="36"/>
        <v>9286065</v>
      </c>
      <c r="BQ14" s="1161">
        <f t="shared" si="36"/>
        <v>7782808</v>
      </c>
      <c r="BR14" s="842">
        <f>BR10</f>
        <v>8391036</v>
      </c>
      <c r="BS14" s="843">
        <f aca="true" t="shared" si="37" ref="BS14:BY14">BS10</f>
        <v>7593192</v>
      </c>
      <c r="BT14" s="843">
        <f t="shared" si="37"/>
        <v>8391036</v>
      </c>
      <c r="BU14" s="844">
        <f t="shared" si="37"/>
        <v>7593192</v>
      </c>
      <c r="BV14" s="842">
        <f t="shared" si="37"/>
        <v>0</v>
      </c>
      <c r="BW14" s="1160">
        <f t="shared" si="37"/>
        <v>0</v>
      </c>
      <c r="BX14" s="1160">
        <f t="shared" si="37"/>
        <v>0</v>
      </c>
      <c r="BY14" s="1161">
        <f t="shared" si="37"/>
        <v>0</v>
      </c>
      <c r="BZ14" s="1646">
        <f>BZ10</f>
        <v>66944377</v>
      </c>
      <c r="CA14" s="1163">
        <f>CA10</f>
        <v>47589646</v>
      </c>
      <c r="CB14" s="1163">
        <f>CB10</f>
        <v>66944377</v>
      </c>
      <c r="CC14" s="1164">
        <f>CC10</f>
        <v>47589646</v>
      </c>
      <c r="CD14" s="848"/>
      <c r="CE14" s="849"/>
      <c r="CF14" s="849"/>
      <c r="CG14" s="1648"/>
      <c r="CH14" s="850">
        <f>CH10</f>
        <v>3454097</v>
      </c>
      <c r="CI14" s="852">
        <f aca="true" t="shared" si="38" ref="CI14:CO14">CI10</f>
        <v>2638364</v>
      </c>
      <c r="CJ14" s="852">
        <f t="shared" si="38"/>
        <v>3454097</v>
      </c>
      <c r="CK14" s="853">
        <f t="shared" si="38"/>
        <v>2638364</v>
      </c>
      <c r="CL14" s="851">
        <f t="shared" si="38"/>
        <v>13028346</v>
      </c>
      <c r="CM14" s="852">
        <f t="shared" si="38"/>
        <v>8374484</v>
      </c>
      <c r="CN14" s="852">
        <f t="shared" si="38"/>
        <v>13028346</v>
      </c>
      <c r="CO14" s="853">
        <f t="shared" si="38"/>
        <v>8374484</v>
      </c>
      <c r="CP14" s="843">
        <f>CP10</f>
        <v>345304142</v>
      </c>
      <c r="CQ14" s="843">
        <f t="shared" si="22"/>
        <v>272236043</v>
      </c>
      <c r="CR14" s="843">
        <f>SUM(D14+H14+L14+P14+T14+X14+AB14+AF14+AJ14+AN14+AR14+AV14+AZ14+BD14+BH14+BL14+BP14+BT14+BX14+CB14+CF14+CJ14+CN14)</f>
        <v>342416206</v>
      </c>
      <c r="CS14" s="844">
        <f>SUM(E14+I14+M14+Q14+U14+Y14+AC14+AG14+AK14+AO14+AS14+AW14+BA14+BE14+BI14+BM14+BQ14+BU14+BY14+CC14+CG14+CK14+CO14)</f>
        <v>272236043</v>
      </c>
      <c r="CT14" s="850">
        <f>CT10</f>
        <v>865710979</v>
      </c>
      <c r="CU14" s="850">
        <f>CU10</f>
        <v>639180800</v>
      </c>
      <c r="CV14" s="850">
        <f>CV10</f>
        <v>865710979</v>
      </c>
      <c r="CW14" s="1651">
        <f>CW10</f>
        <v>639180800</v>
      </c>
      <c r="CX14" s="843">
        <f>CP14+CT14</f>
        <v>1211015121</v>
      </c>
      <c r="CY14" s="843">
        <f>CQ14+CU14</f>
        <v>911416843</v>
      </c>
      <c r="CZ14" s="843">
        <f t="shared" si="26"/>
        <v>1208127185</v>
      </c>
      <c r="DA14" s="844">
        <f t="shared" si="26"/>
        <v>911416843</v>
      </c>
    </row>
  </sheetData>
  <sheetProtection/>
  <mergeCells count="29">
    <mergeCell ref="N3:Q3"/>
    <mergeCell ref="AT3:AW3"/>
    <mergeCell ref="A1:CY1"/>
    <mergeCell ref="A2:CY2"/>
    <mergeCell ref="A3:A4"/>
    <mergeCell ref="B3:E3"/>
    <mergeCell ref="F3:I3"/>
    <mergeCell ref="BR3:BU3"/>
    <mergeCell ref="CX3:DA3"/>
    <mergeCell ref="AP3:AS3"/>
    <mergeCell ref="J3:M3"/>
    <mergeCell ref="AX3:BA3"/>
    <mergeCell ref="CD3:CG3"/>
    <mergeCell ref="BV3:BY3"/>
    <mergeCell ref="R3:U3"/>
    <mergeCell ref="V3:Y3"/>
    <mergeCell ref="Z3:AC3"/>
    <mergeCell ref="BB3:BE3"/>
    <mergeCell ref="AD3:AG3"/>
    <mergeCell ref="AH3:AK3"/>
    <mergeCell ref="AL3:AO3"/>
    <mergeCell ref="BZ3:CC3"/>
    <mergeCell ref="CH3:CK3"/>
    <mergeCell ref="CL3:CO3"/>
    <mergeCell ref="CP3:CS3"/>
    <mergeCell ref="CT3:CW3"/>
    <mergeCell ref="BF3:BI3"/>
    <mergeCell ref="BJ3:BM3"/>
    <mergeCell ref="BN3:BQ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A26"/>
  <sheetViews>
    <sheetView zoomScalePageLayoutView="0" workbookViewId="0" topLeftCell="A1">
      <pane xSplit="1" topLeftCell="BN1" activePane="topRight" state="frozen"/>
      <selection pane="topLeft" activeCell="A1" sqref="A1"/>
      <selection pane="topRight" activeCell="BX17" sqref="BX17"/>
    </sheetView>
  </sheetViews>
  <sheetFormatPr defaultColWidth="9.140625" defaultRowHeight="15"/>
  <cols>
    <col min="1" max="1" width="37.421875" style="250" bestFit="1" customWidth="1"/>
    <col min="2" max="3" width="11.421875" style="250" bestFit="1" customWidth="1"/>
    <col min="4" max="4" width="12.421875" style="250" bestFit="1" customWidth="1"/>
    <col min="5" max="5" width="13.00390625" style="250" customWidth="1"/>
    <col min="6" max="6" width="11.421875" style="250" customWidth="1"/>
    <col min="7" max="7" width="12.00390625" style="250" customWidth="1"/>
    <col min="8" max="9" width="12.57421875" style="250" customWidth="1"/>
    <col min="10" max="11" width="11.421875" style="250" bestFit="1" customWidth="1"/>
    <col min="12" max="12" width="12.421875" style="250" bestFit="1" customWidth="1"/>
    <col min="13" max="13" width="13.28125" style="250" bestFit="1" customWidth="1"/>
    <col min="14" max="15" width="11.421875" style="250" bestFit="1" customWidth="1"/>
    <col min="16" max="16" width="12.421875" style="250" bestFit="1" customWidth="1"/>
    <col min="17" max="17" width="13.28125" style="250" bestFit="1" customWidth="1"/>
    <col min="18" max="19" width="11.421875" style="250" bestFit="1" customWidth="1"/>
    <col min="20" max="20" width="12.421875" style="250" bestFit="1" customWidth="1"/>
    <col min="21" max="21" width="13.28125" style="250" bestFit="1" customWidth="1"/>
    <col min="22" max="23" width="11.421875" style="250" bestFit="1" customWidth="1"/>
    <col min="24" max="24" width="12.421875" style="250" bestFit="1" customWidth="1"/>
    <col min="25" max="25" width="13.28125" style="250" bestFit="1" customWidth="1"/>
    <col min="26" max="27" width="11.421875" style="250" bestFit="1" customWidth="1"/>
    <col min="28" max="28" width="12.421875" style="250" bestFit="1" customWidth="1"/>
    <col min="29" max="29" width="13.28125" style="250" bestFit="1" customWidth="1"/>
    <col min="30" max="31" width="11.421875" style="250" bestFit="1" customWidth="1"/>
    <col min="32" max="32" width="12.421875" style="250" bestFit="1" customWidth="1"/>
    <col min="33" max="33" width="13.28125" style="250" bestFit="1" customWidth="1"/>
    <col min="34" max="35" width="11.421875" style="250" bestFit="1" customWidth="1"/>
    <col min="36" max="36" width="12.421875" style="250" bestFit="1" customWidth="1"/>
    <col min="37" max="37" width="13.28125" style="250" bestFit="1" customWidth="1"/>
    <col min="38" max="38" width="8.7109375" style="250" customWidth="1"/>
    <col min="39" max="39" width="8.28125" style="250" customWidth="1"/>
    <col min="40" max="40" width="8.421875" style="250" customWidth="1"/>
    <col min="41" max="41" width="13.28125" style="250" bestFit="1" customWidth="1"/>
    <col min="42" max="43" width="11.421875" style="250" bestFit="1" customWidth="1"/>
    <col min="44" max="44" width="12.421875" style="250" bestFit="1" customWidth="1"/>
    <col min="45" max="45" width="13.28125" style="250" bestFit="1" customWidth="1"/>
    <col min="46" max="47" width="11.421875" style="250" bestFit="1" customWidth="1"/>
    <col min="48" max="48" width="12.421875" style="250" bestFit="1" customWidth="1"/>
    <col min="49" max="49" width="13.28125" style="250" bestFit="1" customWidth="1"/>
    <col min="50" max="51" width="11.421875" style="250" bestFit="1" customWidth="1"/>
    <col min="52" max="52" width="12.421875" style="250" bestFit="1" customWidth="1"/>
    <col min="53" max="53" width="13.28125" style="250" bestFit="1" customWidth="1"/>
    <col min="54" max="55" width="11.421875" style="250" bestFit="1" customWidth="1"/>
    <col min="56" max="56" width="12.421875" style="250" bestFit="1" customWidth="1"/>
    <col min="57" max="57" width="13.28125" style="250" bestFit="1" customWidth="1"/>
    <col min="58" max="59" width="11.421875" style="250" bestFit="1" customWidth="1"/>
    <col min="60" max="60" width="12.421875" style="250" bestFit="1" customWidth="1"/>
    <col min="61" max="61" width="13.28125" style="250" bestFit="1" customWidth="1"/>
    <col min="62" max="63" width="11.421875" style="250" bestFit="1" customWidth="1"/>
    <col min="64" max="64" width="12.421875" style="250" bestFit="1" customWidth="1"/>
    <col min="65" max="65" width="13.28125" style="250" bestFit="1" customWidth="1"/>
    <col min="66" max="66" width="11.7109375" style="250" bestFit="1" customWidth="1"/>
    <col min="67" max="67" width="11.421875" style="250" bestFit="1" customWidth="1"/>
    <col min="68" max="68" width="12.421875" style="250" bestFit="1" customWidth="1"/>
    <col min="69" max="69" width="13.28125" style="250" bestFit="1" customWidth="1"/>
    <col min="70" max="71" width="11.421875" style="250" bestFit="1" customWidth="1"/>
    <col min="72" max="72" width="12.421875" style="250" bestFit="1" customWidth="1"/>
    <col min="73" max="73" width="13.28125" style="250" bestFit="1" customWidth="1"/>
    <col min="74" max="75" width="11.421875" style="250" bestFit="1" customWidth="1"/>
    <col min="76" max="76" width="12.421875" style="250" bestFit="1" customWidth="1"/>
    <col min="77" max="77" width="13.28125" style="250" bestFit="1" customWidth="1"/>
    <col min="78" max="79" width="11.421875" style="250" customWidth="1"/>
    <col min="80" max="80" width="12.421875" style="250" bestFit="1" customWidth="1"/>
    <col min="81" max="81" width="13.28125" style="250" bestFit="1" customWidth="1"/>
    <col min="82" max="83" width="11.421875" style="250" bestFit="1" customWidth="1"/>
    <col min="84" max="84" width="12.421875" style="250" bestFit="1" customWidth="1"/>
    <col min="85" max="85" width="13.28125" style="250" bestFit="1" customWidth="1"/>
    <col min="86" max="86" width="11.421875" style="250" bestFit="1" customWidth="1"/>
    <col min="87" max="87" width="9.8515625" style="250" customWidth="1"/>
    <col min="88" max="88" width="12.421875" style="250" bestFit="1" customWidth="1"/>
    <col min="89" max="89" width="13.28125" style="250" bestFit="1" customWidth="1"/>
    <col min="90" max="90" width="11.7109375" style="250" bestFit="1" customWidth="1"/>
    <col min="91" max="91" width="11.421875" style="250" bestFit="1" customWidth="1"/>
    <col min="92" max="92" width="12.421875" style="250" bestFit="1" customWidth="1"/>
    <col min="93" max="93" width="13.28125" style="250" bestFit="1" customWidth="1"/>
    <col min="94" max="95" width="11.421875" style="250" bestFit="1" customWidth="1"/>
    <col min="96" max="96" width="12.421875" style="250" bestFit="1" customWidth="1"/>
    <col min="97" max="97" width="13.28125" style="250" bestFit="1" customWidth="1"/>
    <col min="98" max="99" width="11.421875" style="250" bestFit="1" customWidth="1"/>
    <col min="100" max="100" width="12.421875" style="250" bestFit="1" customWidth="1"/>
    <col min="101" max="101" width="13.28125" style="250" bestFit="1" customWidth="1"/>
    <col min="102" max="103" width="11.421875" style="250" bestFit="1" customWidth="1"/>
    <col min="104" max="104" width="12.421875" style="250" bestFit="1" customWidth="1"/>
    <col min="105" max="105" width="13.28125" style="250" bestFit="1" customWidth="1"/>
    <col min="106" max="16384" width="9.140625" style="250" customWidth="1"/>
  </cols>
  <sheetData>
    <row r="1" spans="1:103" s="317" customFormat="1" ht="14.25">
      <c r="A1" s="1895" t="s">
        <v>182</v>
      </c>
      <c r="B1" s="1895"/>
      <c r="C1" s="1895"/>
      <c r="D1" s="1895"/>
      <c r="E1" s="1895"/>
      <c r="F1" s="1895"/>
      <c r="G1" s="1895"/>
      <c r="H1" s="1895"/>
      <c r="I1" s="1895"/>
      <c r="J1" s="1895"/>
      <c r="K1" s="1895"/>
      <c r="L1" s="1895"/>
      <c r="M1" s="1895"/>
      <c r="N1" s="1895"/>
      <c r="O1" s="1895"/>
      <c r="P1" s="1895"/>
      <c r="Q1" s="1895"/>
      <c r="R1" s="1895"/>
      <c r="S1" s="1895"/>
      <c r="T1" s="1895"/>
      <c r="U1" s="1895"/>
      <c r="V1" s="1895"/>
      <c r="W1" s="1895"/>
      <c r="X1" s="1895"/>
      <c r="Y1" s="1895"/>
      <c r="Z1" s="1895"/>
      <c r="AA1" s="1895"/>
      <c r="AB1" s="1895"/>
      <c r="AC1" s="1895"/>
      <c r="AD1" s="1895"/>
      <c r="AE1" s="1895"/>
      <c r="AF1" s="1895"/>
      <c r="AG1" s="1895"/>
      <c r="AH1" s="1895"/>
      <c r="AI1" s="1895"/>
      <c r="AJ1" s="1895"/>
      <c r="AK1" s="1895"/>
      <c r="AL1" s="1895"/>
      <c r="AM1" s="1895"/>
      <c r="AN1" s="1895"/>
      <c r="AO1" s="1895"/>
      <c r="AP1" s="1895"/>
      <c r="AQ1" s="1895"/>
      <c r="AR1" s="1895"/>
      <c r="AS1" s="1895"/>
      <c r="AT1" s="1895"/>
      <c r="AU1" s="1895"/>
      <c r="AV1" s="1895"/>
      <c r="AW1" s="1895"/>
      <c r="AX1" s="1895"/>
      <c r="AY1" s="1895"/>
      <c r="AZ1" s="1895"/>
      <c r="BA1" s="1895"/>
      <c r="BB1" s="1895"/>
      <c r="BC1" s="1895"/>
      <c r="BD1" s="1895"/>
      <c r="BE1" s="1895"/>
      <c r="BF1" s="1895"/>
      <c r="BG1" s="1895"/>
      <c r="BH1" s="1895"/>
      <c r="BI1" s="1895"/>
      <c r="BJ1" s="1895"/>
      <c r="BK1" s="1895"/>
      <c r="BL1" s="1895"/>
      <c r="BM1" s="1895"/>
      <c r="BN1" s="1895"/>
      <c r="BO1" s="1895"/>
      <c r="BP1" s="1895"/>
      <c r="BQ1" s="1895"/>
      <c r="BR1" s="1895"/>
      <c r="BS1" s="1895"/>
      <c r="BT1" s="1895"/>
      <c r="BU1" s="1895"/>
      <c r="BV1" s="1895"/>
      <c r="BW1" s="1895"/>
      <c r="BX1" s="1895"/>
      <c r="BY1" s="1895"/>
      <c r="BZ1" s="1895"/>
      <c r="CA1" s="1895"/>
      <c r="CB1" s="1895"/>
      <c r="CC1" s="1895"/>
      <c r="CD1" s="1895"/>
      <c r="CE1" s="1895"/>
      <c r="CF1" s="1895"/>
      <c r="CG1" s="1895"/>
      <c r="CH1" s="1895"/>
      <c r="CI1" s="1895"/>
      <c r="CJ1" s="1895"/>
      <c r="CK1" s="1895"/>
      <c r="CL1" s="1895"/>
      <c r="CM1" s="1895"/>
      <c r="CN1" s="1895"/>
      <c r="CO1" s="1895"/>
      <c r="CP1" s="1895"/>
      <c r="CQ1" s="1895"/>
      <c r="CR1" s="1895"/>
      <c r="CS1" s="1895"/>
      <c r="CT1" s="1895"/>
      <c r="CU1" s="1895"/>
      <c r="CV1" s="1895"/>
      <c r="CW1" s="1895"/>
      <c r="CX1" s="1895"/>
      <c r="CY1" s="1895"/>
    </row>
    <row r="2" spans="1:103" s="855" customFormat="1" ht="14.25" thickBot="1">
      <c r="A2" s="1931" t="s">
        <v>59</v>
      </c>
      <c r="B2" s="1931"/>
      <c r="C2" s="1931"/>
      <c r="D2" s="1931"/>
      <c r="E2" s="1931"/>
      <c r="F2" s="1931"/>
      <c r="G2" s="1931"/>
      <c r="H2" s="1931"/>
      <c r="I2" s="1931"/>
      <c r="J2" s="1931"/>
      <c r="K2" s="1931"/>
      <c r="L2" s="1931"/>
      <c r="M2" s="1931"/>
      <c r="N2" s="1931"/>
      <c r="O2" s="1931"/>
      <c r="P2" s="1931"/>
      <c r="Q2" s="1931"/>
      <c r="R2" s="1931"/>
      <c r="S2" s="1931"/>
      <c r="T2" s="1931"/>
      <c r="U2" s="1931"/>
      <c r="V2" s="1931"/>
      <c r="W2" s="1931"/>
      <c r="X2" s="1931"/>
      <c r="Y2" s="1931"/>
      <c r="Z2" s="1931"/>
      <c r="AA2" s="1931"/>
      <c r="AB2" s="1931"/>
      <c r="AC2" s="1931"/>
      <c r="AD2" s="1931"/>
      <c r="AE2" s="1931"/>
      <c r="AF2" s="1931"/>
      <c r="AG2" s="1931"/>
      <c r="AH2" s="1931"/>
      <c r="AI2" s="1931"/>
      <c r="AJ2" s="1931"/>
      <c r="AK2" s="1931"/>
      <c r="AL2" s="1931"/>
      <c r="AM2" s="1931"/>
      <c r="AN2" s="1931"/>
      <c r="AO2" s="1931"/>
      <c r="AP2" s="1931"/>
      <c r="AQ2" s="1931"/>
      <c r="AR2" s="1931"/>
      <c r="AS2" s="1931"/>
      <c r="AT2" s="1931"/>
      <c r="AU2" s="1931"/>
      <c r="AV2" s="1931"/>
      <c r="AW2" s="1931"/>
      <c r="AX2" s="1931"/>
      <c r="AY2" s="1931"/>
      <c r="AZ2" s="1931"/>
      <c r="BA2" s="1931"/>
      <c r="BB2" s="1931"/>
      <c r="BC2" s="1931"/>
      <c r="BD2" s="1931"/>
      <c r="BE2" s="1931"/>
      <c r="BF2" s="1931"/>
      <c r="BG2" s="1931"/>
      <c r="BH2" s="1931"/>
      <c r="BI2" s="1931"/>
      <c r="BJ2" s="1931"/>
      <c r="BK2" s="1931"/>
      <c r="BL2" s="1931"/>
      <c r="BM2" s="1931"/>
      <c r="BN2" s="1931"/>
      <c r="BO2" s="1931"/>
      <c r="BP2" s="1931"/>
      <c r="BQ2" s="1931"/>
      <c r="BR2" s="1931"/>
      <c r="BS2" s="1931"/>
      <c r="BT2" s="1931"/>
      <c r="BU2" s="1931"/>
      <c r="BV2" s="1931"/>
      <c r="BW2" s="1931"/>
      <c r="BX2" s="1931"/>
      <c r="BY2" s="1931"/>
      <c r="BZ2" s="1931"/>
      <c r="CA2" s="1931"/>
      <c r="CB2" s="1931"/>
      <c r="CC2" s="1931"/>
      <c r="CD2" s="1931"/>
      <c r="CE2" s="1931"/>
      <c r="CF2" s="1931"/>
      <c r="CG2" s="1931"/>
      <c r="CH2" s="1931"/>
      <c r="CI2" s="1931"/>
      <c r="CJ2" s="1931"/>
      <c r="CK2" s="1931"/>
      <c r="CL2" s="1931"/>
      <c r="CM2" s="1931"/>
      <c r="CN2" s="1931"/>
      <c r="CO2" s="1931"/>
      <c r="CP2" s="1931"/>
      <c r="CQ2" s="1931"/>
      <c r="CR2" s="1931"/>
      <c r="CS2" s="1931"/>
      <c r="CT2" s="1931"/>
      <c r="CU2" s="1931"/>
      <c r="CV2" s="1931"/>
      <c r="CW2" s="1931"/>
      <c r="CX2" s="1931"/>
      <c r="CY2" s="1931"/>
    </row>
    <row r="3" spans="1:105" ht="15" thickBot="1">
      <c r="A3" s="1932" t="s">
        <v>0</v>
      </c>
      <c r="B3" s="1932" t="s">
        <v>187</v>
      </c>
      <c r="C3" s="1934"/>
      <c r="D3" s="1934"/>
      <c r="E3" s="1935"/>
      <c r="F3" s="1926" t="s">
        <v>188</v>
      </c>
      <c r="G3" s="1927"/>
      <c r="H3" s="1927"/>
      <c r="I3" s="1936"/>
      <c r="J3" s="1926" t="s">
        <v>189</v>
      </c>
      <c r="K3" s="1927"/>
      <c r="L3" s="1927"/>
      <c r="M3" s="1936"/>
      <c r="N3" s="1926" t="s">
        <v>190</v>
      </c>
      <c r="O3" s="1927"/>
      <c r="P3" s="1927"/>
      <c r="Q3" s="1927"/>
      <c r="R3" s="1926" t="s">
        <v>191</v>
      </c>
      <c r="S3" s="1927"/>
      <c r="T3" s="1927"/>
      <c r="U3" s="1927"/>
      <c r="V3" s="1926" t="s">
        <v>192</v>
      </c>
      <c r="W3" s="1927"/>
      <c r="X3" s="1927"/>
      <c r="Y3" s="1936"/>
      <c r="Z3" s="1926" t="s">
        <v>193</v>
      </c>
      <c r="AA3" s="1927"/>
      <c r="AB3" s="1927"/>
      <c r="AC3" s="1936"/>
      <c r="AD3" s="1927" t="s">
        <v>194</v>
      </c>
      <c r="AE3" s="1927"/>
      <c r="AF3" s="1927"/>
      <c r="AG3" s="1927"/>
      <c r="AH3" s="1926" t="s">
        <v>195</v>
      </c>
      <c r="AI3" s="1927"/>
      <c r="AJ3" s="1927"/>
      <c r="AK3" s="1936"/>
      <c r="AL3" s="1927" t="s">
        <v>196</v>
      </c>
      <c r="AM3" s="1927"/>
      <c r="AN3" s="1927"/>
      <c r="AO3" s="1936"/>
      <c r="AP3" s="1927" t="s">
        <v>197</v>
      </c>
      <c r="AQ3" s="1927"/>
      <c r="AR3" s="1927"/>
      <c r="AS3" s="1936"/>
      <c r="AT3" s="1927" t="s">
        <v>198</v>
      </c>
      <c r="AU3" s="1927"/>
      <c r="AV3" s="1927"/>
      <c r="AW3" s="1936"/>
      <c r="AX3" s="1927" t="s">
        <v>199</v>
      </c>
      <c r="AY3" s="1927"/>
      <c r="AZ3" s="1927"/>
      <c r="BA3" s="1927"/>
      <c r="BB3" s="1926" t="s">
        <v>200</v>
      </c>
      <c r="BC3" s="1927"/>
      <c r="BD3" s="1927"/>
      <c r="BE3" s="1936"/>
      <c r="BF3" s="1929" t="s">
        <v>201</v>
      </c>
      <c r="BG3" s="1929"/>
      <c r="BH3" s="1929"/>
      <c r="BI3" s="1929"/>
      <c r="BJ3" s="1926" t="s">
        <v>202</v>
      </c>
      <c r="BK3" s="1927"/>
      <c r="BL3" s="1927"/>
      <c r="BM3" s="1927"/>
      <c r="BN3" s="1926" t="s">
        <v>203</v>
      </c>
      <c r="BO3" s="1927"/>
      <c r="BP3" s="1927"/>
      <c r="BQ3" s="1927"/>
      <c r="BR3" s="1926" t="s">
        <v>204</v>
      </c>
      <c r="BS3" s="1927"/>
      <c r="BT3" s="1927"/>
      <c r="BU3" s="1927"/>
      <c r="BV3" s="1928" t="s">
        <v>205</v>
      </c>
      <c r="BW3" s="1929"/>
      <c r="BX3" s="1929"/>
      <c r="BY3" s="1929"/>
      <c r="BZ3" s="1926" t="s">
        <v>206</v>
      </c>
      <c r="CA3" s="1927"/>
      <c r="CB3" s="1927"/>
      <c r="CC3" s="1927"/>
      <c r="CD3" s="1926" t="s">
        <v>207</v>
      </c>
      <c r="CE3" s="1927"/>
      <c r="CF3" s="1927"/>
      <c r="CG3" s="1927"/>
      <c r="CH3" s="1926" t="s">
        <v>208</v>
      </c>
      <c r="CI3" s="1927"/>
      <c r="CJ3" s="1927"/>
      <c r="CK3" s="1927"/>
      <c r="CL3" s="1926" t="s">
        <v>209</v>
      </c>
      <c r="CM3" s="1927"/>
      <c r="CN3" s="1927"/>
      <c r="CO3" s="1927"/>
      <c r="CP3" s="1926" t="s">
        <v>1</v>
      </c>
      <c r="CQ3" s="1927"/>
      <c r="CR3" s="1927"/>
      <c r="CS3" s="1927"/>
      <c r="CT3" s="1928" t="s">
        <v>210</v>
      </c>
      <c r="CU3" s="1929"/>
      <c r="CV3" s="1929"/>
      <c r="CW3" s="1930"/>
      <c r="CX3" s="1928" t="s">
        <v>2</v>
      </c>
      <c r="CY3" s="1929"/>
      <c r="CZ3" s="1929"/>
      <c r="DA3" s="1930"/>
    </row>
    <row r="4" spans="1:105" s="855" customFormat="1" ht="14.25" thickBot="1">
      <c r="A4" s="1933"/>
      <c r="B4" s="811" t="s">
        <v>440</v>
      </c>
      <c r="C4" s="812" t="s">
        <v>441</v>
      </c>
      <c r="D4" s="812" t="s">
        <v>444</v>
      </c>
      <c r="E4" s="813" t="s">
        <v>445</v>
      </c>
      <c r="F4" s="811" t="s">
        <v>440</v>
      </c>
      <c r="G4" s="812" t="s">
        <v>441</v>
      </c>
      <c r="H4" s="812" t="s">
        <v>444</v>
      </c>
      <c r="I4" s="813" t="s">
        <v>445</v>
      </c>
      <c r="J4" s="811" t="s">
        <v>440</v>
      </c>
      <c r="K4" s="812" t="s">
        <v>441</v>
      </c>
      <c r="L4" s="812" t="s">
        <v>444</v>
      </c>
      <c r="M4" s="813" t="s">
        <v>445</v>
      </c>
      <c r="N4" s="811" t="s">
        <v>440</v>
      </c>
      <c r="O4" s="812" t="s">
        <v>441</v>
      </c>
      <c r="P4" s="812" t="s">
        <v>444</v>
      </c>
      <c r="Q4" s="813" t="s">
        <v>445</v>
      </c>
      <c r="R4" s="811" t="s">
        <v>440</v>
      </c>
      <c r="S4" s="812" t="s">
        <v>441</v>
      </c>
      <c r="T4" s="812" t="s">
        <v>444</v>
      </c>
      <c r="U4" s="813" t="s">
        <v>445</v>
      </c>
      <c r="V4" s="811" t="s">
        <v>440</v>
      </c>
      <c r="W4" s="812" t="s">
        <v>441</v>
      </c>
      <c r="X4" s="812" t="s">
        <v>444</v>
      </c>
      <c r="Y4" s="813" t="s">
        <v>445</v>
      </c>
      <c r="Z4" s="811" t="s">
        <v>440</v>
      </c>
      <c r="AA4" s="812" t="s">
        <v>441</v>
      </c>
      <c r="AB4" s="812" t="s">
        <v>444</v>
      </c>
      <c r="AC4" s="813" t="s">
        <v>445</v>
      </c>
      <c r="AD4" s="811" t="s">
        <v>440</v>
      </c>
      <c r="AE4" s="812" t="s">
        <v>441</v>
      </c>
      <c r="AF4" s="812" t="s">
        <v>444</v>
      </c>
      <c r="AG4" s="813" t="s">
        <v>445</v>
      </c>
      <c r="AH4" s="811" t="s">
        <v>440</v>
      </c>
      <c r="AI4" s="812" t="s">
        <v>441</v>
      </c>
      <c r="AJ4" s="812" t="s">
        <v>444</v>
      </c>
      <c r="AK4" s="813" t="s">
        <v>445</v>
      </c>
      <c r="AL4" s="811" t="s">
        <v>440</v>
      </c>
      <c r="AM4" s="812" t="s">
        <v>441</v>
      </c>
      <c r="AN4" s="812" t="s">
        <v>444</v>
      </c>
      <c r="AO4" s="813" t="s">
        <v>445</v>
      </c>
      <c r="AP4" s="811" t="s">
        <v>440</v>
      </c>
      <c r="AQ4" s="812" t="s">
        <v>441</v>
      </c>
      <c r="AR4" s="812" t="s">
        <v>444</v>
      </c>
      <c r="AS4" s="813" t="s">
        <v>445</v>
      </c>
      <c r="AT4" s="811" t="s">
        <v>440</v>
      </c>
      <c r="AU4" s="812" t="s">
        <v>441</v>
      </c>
      <c r="AV4" s="812" t="s">
        <v>444</v>
      </c>
      <c r="AW4" s="813" t="s">
        <v>445</v>
      </c>
      <c r="AX4" s="811" t="s">
        <v>440</v>
      </c>
      <c r="AY4" s="812" t="s">
        <v>441</v>
      </c>
      <c r="AZ4" s="812" t="s">
        <v>444</v>
      </c>
      <c r="BA4" s="813" t="s">
        <v>445</v>
      </c>
      <c r="BB4" s="811" t="s">
        <v>440</v>
      </c>
      <c r="BC4" s="812" t="s">
        <v>441</v>
      </c>
      <c r="BD4" s="812" t="s">
        <v>444</v>
      </c>
      <c r="BE4" s="813" t="s">
        <v>445</v>
      </c>
      <c r="BF4" s="811" t="s">
        <v>440</v>
      </c>
      <c r="BG4" s="812" t="s">
        <v>441</v>
      </c>
      <c r="BH4" s="812" t="s">
        <v>444</v>
      </c>
      <c r="BI4" s="813" t="s">
        <v>445</v>
      </c>
      <c r="BJ4" s="811" t="s">
        <v>440</v>
      </c>
      <c r="BK4" s="812" t="s">
        <v>441</v>
      </c>
      <c r="BL4" s="812" t="s">
        <v>444</v>
      </c>
      <c r="BM4" s="813" t="s">
        <v>445</v>
      </c>
      <c r="BN4" s="811" t="s">
        <v>440</v>
      </c>
      <c r="BO4" s="812" t="s">
        <v>441</v>
      </c>
      <c r="BP4" s="812" t="s">
        <v>444</v>
      </c>
      <c r="BQ4" s="813" t="s">
        <v>445</v>
      </c>
      <c r="BR4" s="811" t="s">
        <v>440</v>
      </c>
      <c r="BS4" s="812" t="s">
        <v>441</v>
      </c>
      <c r="BT4" s="812" t="s">
        <v>444</v>
      </c>
      <c r="BU4" s="813" t="s">
        <v>445</v>
      </c>
      <c r="BV4" s="811" t="s">
        <v>440</v>
      </c>
      <c r="BW4" s="812" t="s">
        <v>441</v>
      </c>
      <c r="BX4" s="812" t="s">
        <v>444</v>
      </c>
      <c r="BY4" s="813" t="s">
        <v>445</v>
      </c>
      <c r="BZ4" s="811" t="s">
        <v>440</v>
      </c>
      <c r="CA4" s="812" t="s">
        <v>441</v>
      </c>
      <c r="CB4" s="812" t="s">
        <v>444</v>
      </c>
      <c r="CC4" s="813" t="s">
        <v>445</v>
      </c>
      <c r="CD4" s="811" t="s">
        <v>440</v>
      </c>
      <c r="CE4" s="812" t="s">
        <v>441</v>
      </c>
      <c r="CF4" s="812" t="s">
        <v>444</v>
      </c>
      <c r="CG4" s="813" t="s">
        <v>445</v>
      </c>
      <c r="CH4" s="811" t="s">
        <v>440</v>
      </c>
      <c r="CI4" s="812" t="s">
        <v>441</v>
      </c>
      <c r="CJ4" s="812" t="s">
        <v>444</v>
      </c>
      <c r="CK4" s="813" t="s">
        <v>445</v>
      </c>
      <c r="CL4" s="811" t="s">
        <v>440</v>
      </c>
      <c r="CM4" s="812" t="s">
        <v>441</v>
      </c>
      <c r="CN4" s="812" t="s">
        <v>444</v>
      </c>
      <c r="CO4" s="813" t="s">
        <v>445</v>
      </c>
      <c r="CP4" s="811" t="s">
        <v>440</v>
      </c>
      <c r="CQ4" s="812" t="s">
        <v>441</v>
      </c>
      <c r="CR4" s="812" t="s">
        <v>444</v>
      </c>
      <c r="CS4" s="813" t="s">
        <v>445</v>
      </c>
      <c r="CT4" s="811" t="s">
        <v>440</v>
      </c>
      <c r="CU4" s="812" t="s">
        <v>441</v>
      </c>
      <c r="CV4" s="812" t="s">
        <v>444</v>
      </c>
      <c r="CW4" s="813" t="s">
        <v>445</v>
      </c>
      <c r="CX4" s="811" t="s">
        <v>440</v>
      </c>
      <c r="CY4" s="812" t="s">
        <v>441</v>
      </c>
      <c r="CZ4" s="812" t="s">
        <v>444</v>
      </c>
      <c r="DA4" s="813" t="s">
        <v>445</v>
      </c>
    </row>
    <row r="5" spans="1:105" s="232" customFormat="1" ht="14.25">
      <c r="A5" s="691" t="s">
        <v>60</v>
      </c>
      <c r="B5" s="246"/>
      <c r="C5" s="244"/>
      <c r="D5" s="244"/>
      <c r="E5" s="242"/>
      <c r="F5" s="246"/>
      <c r="G5" s="244"/>
      <c r="H5" s="244"/>
      <c r="I5" s="242"/>
      <c r="J5" s="246"/>
      <c r="K5" s="244"/>
      <c r="L5" s="244"/>
      <c r="M5" s="242"/>
      <c r="N5" s="246"/>
      <c r="O5" s="244"/>
      <c r="P5" s="244"/>
      <c r="Q5" s="247"/>
      <c r="R5" s="246"/>
      <c r="S5" s="244"/>
      <c r="T5" s="244"/>
      <c r="U5" s="247"/>
      <c r="V5" s="246"/>
      <c r="W5" s="244"/>
      <c r="X5" s="244"/>
      <c r="Y5" s="242"/>
      <c r="Z5" s="246"/>
      <c r="AA5" s="244"/>
      <c r="AB5" s="244"/>
      <c r="AC5" s="242"/>
      <c r="AD5" s="243"/>
      <c r="AE5" s="244"/>
      <c r="AF5" s="244"/>
      <c r="AG5" s="247"/>
      <c r="AH5" s="246"/>
      <c r="AI5" s="244"/>
      <c r="AJ5" s="244"/>
      <c r="AK5" s="242"/>
      <c r="AL5" s="243"/>
      <c r="AM5" s="244"/>
      <c r="AN5" s="244"/>
      <c r="AO5" s="242"/>
      <c r="AP5" s="243"/>
      <c r="AQ5" s="244"/>
      <c r="AR5" s="244"/>
      <c r="AS5" s="242"/>
      <c r="AT5" s="243"/>
      <c r="AU5" s="244"/>
      <c r="AV5" s="244"/>
      <c r="AW5" s="242"/>
      <c r="AX5" s="243"/>
      <c r="AY5" s="244"/>
      <c r="AZ5" s="244"/>
      <c r="BA5" s="247"/>
      <c r="BB5" s="246"/>
      <c r="BC5" s="244"/>
      <c r="BD5" s="244"/>
      <c r="BE5" s="242"/>
      <c r="BF5" s="243"/>
      <c r="BG5" s="244"/>
      <c r="BH5" s="244"/>
      <c r="BI5" s="247"/>
      <c r="BJ5" s="246"/>
      <c r="BK5" s="244"/>
      <c r="BL5" s="244"/>
      <c r="BM5" s="247"/>
      <c r="BN5" s="246"/>
      <c r="BO5" s="244"/>
      <c r="BP5" s="244"/>
      <c r="BQ5" s="247"/>
      <c r="BR5" s="246"/>
      <c r="BS5" s="244"/>
      <c r="BT5" s="244"/>
      <c r="BU5" s="247"/>
      <c r="BV5" s="246"/>
      <c r="BW5" s="244"/>
      <c r="BX5" s="244"/>
      <c r="BY5" s="247"/>
      <c r="BZ5" s="246"/>
      <c r="CA5" s="244"/>
      <c r="CB5" s="244"/>
      <c r="CC5" s="247"/>
      <c r="CD5" s="246"/>
      <c r="CE5" s="244"/>
      <c r="CF5" s="244"/>
      <c r="CG5" s="247"/>
      <c r="CH5" s="246"/>
      <c r="CI5" s="244"/>
      <c r="CJ5" s="244"/>
      <c r="CK5" s="247"/>
      <c r="CL5" s="246"/>
      <c r="CM5" s="244"/>
      <c r="CN5" s="244"/>
      <c r="CO5" s="247"/>
      <c r="CP5" s="246"/>
      <c r="CQ5" s="244"/>
      <c r="CR5" s="244"/>
      <c r="CS5" s="247"/>
      <c r="CT5" s="246"/>
      <c r="CU5" s="244"/>
      <c r="CV5" s="244"/>
      <c r="CW5" s="242"/>
      <c r="CX5" s="246"/>
      <c r="CY5" s="244"/>
      <c r="CZ5" s="248"/>
      <c r="DA5" s="249"/>
    </row>
    <row r="6" spans="1:105" s="232" customFormat="1" ht="14.25">
      <c r="A6" s="251" t="s">
        <v>61</v>
      </c>
      <c r="B6" s="697">
        <v>552580</v>
      </c>
      <c r="C6" s="165">
        <v>398156</v>
      </c>
      <c r="D6" s="165">
        <f>B6</f>
        <v>552580</v>
      </c>
      <c r="E6" s="165">
        <f>C6</f>
        <v>398156</v>
      </c>
      <c r="F6" s="151">
        <v>4168</v>
      </c>
      <c r="G6" s="152">
        <v>2184</v>
      </c>
      <c r="H6" s="152">
        <f>F6</f>
        <v>4168</v>
      </c>
      <c r="I6" s="152">
        <f>G6</f>
        <v>2184</v>
      </c>
      <c r="J6" s="151">
        <v>22155</v>
      </c>
      <c r="K6" s="152">
        <v>36678</v>
      </c>
      <c r="L6" s="152">
        <f>J6</f>
        <v>22155</v>
      </c>
      <c r="M6" s="152">
        <f>K6</f>
        <v>36678</v>
      </c>
      <c r="N6" s="151">
        <v>338909</v>
      </c>
      <c r="O6" s="152">
        <v>310508</v>
      </c>
      <c r="P6" s="152">
        <f>N6</f>
        <v>338909</v>
      </c>
      <c r="Q6" s="152">
        <f>O6</f>
        <v>310508</v>
      </c>
      <c r="R6" s="151">
        <v>276876</v>
      </c>
      <c r="S6" s="152">
        <v>225955</v>
      </c>
      <c r="T6" s="152">
        <f>R6</f>
        <v>276876</v>
      </c>
      <c r="U6" s="152">
        <f>S6</f>
        <v>225955</v>
      </c>
      <c r="V6" s="151">
        <v>217174</v>
      </c>
      <c r="W6" s="152">
        <v>158704</v>
      </c>
      <c r="X6" s="152">
        <f>V6</f>
        <v>217174</v>
      </c>
      <c r="Y6" s="152">
        <f>W6</f>
        <v>158704</v>
      </c>
      <c r="Z6" s="151">
        <v>42016</v>
      </c>
      <c r="AA6" s="152">
        <v>118521</v>
      </c>
      <c r="AB6" s="152">
        <f>Z6</f>
        <v>42016</v>
      </c>
      <c r="AC6" s="152">
        <f>AA6</f>
        <v>118521</v>
      </c>
      <c r="AD6" s="187">
        <v>75875</v>
      </c>
      <c r="AE6" s="152">
        <v>50061</v>
      </c>
      <c r="AF6" s="152">
        <f>AD6</f>
        <v>75875</v>
      </c>
      <c r="AG6" s="152">
        <f>AE6</f>
        <v>50061</v>
      </c>
      <c r="AH6" s="151">
        <v>248245</v>
      </c>
      <c r="AI6" s="152">
        <v>266248</v>
      </c>
      <c r="AJ6" s="152">
        <f>AH6</f>
        <v>248245</v>
      </c>
      <c r="AK6" s="152">
        <f>AI6</f>
        <v>266248</v>
      </c>
      <c r="AL6" s="187">
        <v>58030</v>
      </c>
      <c r="AM6" s="152">
        <v>58108</v>
      </c>
      <c r="AN6" s="152">
        <f>AL6</f>
        <v>58030</v>
      </c>
      <c r="AO6" s="152">
        <f>AM6</f>
        <v>58108</v>
      </c>
      <c r="AP6" s="187">
        <v>2584501</v>
      </c>
      <c r="AQ6" s="152">
        <v>1418305</v>
      </c>
      <c r="AR6" s="152">
        <f>AP6</f>
        <v>2584501</v>
      </c>
      <c r="AS6" s="152">
        <f>AQ6</f>
        <v>1418305</v>
      </c>
      <c r="AT6" s="152">
        <v>1782282</v>
      </c>
      <c r="AU6" s="856">
        <v>1996125</v>
      </c>
      <c r="AV6" s="152">
        <f>AT6</f>
        <v>1782282</v>
      </c>
      <c r="AW6" s="152">
        <f>AU6</f>
        <v>1996125</v>
      </c>
      <c r="AX6" s="857">
        <v>88144</v>
      </c>
      <c r="AY6" s="171">
        <v>107115</v>
      </c>
      <c r="AZ6" s="171">
        <f>AX6</f>
        <v>88144</v>
      </c>
      <c r="BA6" s="171">
        <f>AY6</f>
        <v>107115</v>
      </c>
      <c r="BB6" s="151">
        <v>146918</v>
      </c>
      <c r="BC6" s="152">
        <v>125544</v>
      </c>
      <c r="BD6" s="152">
        <f>BB6</f>
        <v>146918</v>
      </c>
      <c r="BE6" s="152">
        <f>BC6</f>
        <v>125544</v>
      </c>
      <c r="BF6" s="187">
        <v>374785</v>
      </c>
      <c r="BG6" s="152">
        <v>355173</v>
      </c>
      <c r="BH6" s="152">
        <f>BF6</f>
        <v>374785</v>
      </c>
      <c r="BI6" s="152">
        <f>BG6</f>
        <v>355173</v>
      </c>
      <c r="BJ6" s="151">
        <v>1146058</v>
      </c>
      <c r="BK6" s="152">
        <v>1059735</v>
      </c>
      <c r="BL6" s="152">
        <f>BJ6</f>
        <v>1146058</v>
      </c>
      <c r="BM6" s="152">
        <f>BK6</f>
        <v>1059735</v>
      </c>
      <c r="BN6" s="151">
        <v>317690</v>
      </c>
      <c r="BO6" s="152">
        <v>265037</v>
      </c>
      <c r="BP6" s="152">
        <f>BN6</f>
        <v>317690</v>
      </c>
      <c r="BQ6" s="152">
        <f>BO6</f>
        <v>265037</v>
      </c>
      <c r="BR6" s="151">
        <v>256798</v>
      </c>
      <c r="BS6" s="152">
        <v>206497</v>
      </c>
      <c r="BT6" s="152">
        <f aca="true" t="shared" si="0" ref="BT6:BU9">BR6</f>
        <v>256798</v>
      </c>
      <c r="BU6" s="152">
        <f t="shared" si="0"/>
        <v>206497</v>
      </c>
      <c r="BV6" s="858"/>
      <c r="BW6" s="152"/>
      <c r="BX6" s="152"/>
      <c r="BY6" s="167"/>
      <c r="BZ6" s="331">
        <v>1403336</v>
      </c>
      <c r="CA6" s="325">
        <v>1123189</v>
      </c>
      <c r="CB6" s="325">
        <f aca="true" t="shared" si="1" ref="CB6:CC9">BZ6</f>
        <v>1403336</v>
      </c>
      <c r="CC6" s="325">
        <f t="shared" si="1"/>
        <v>1123189</v>
      </c>
      <c r="CD6" s="859">
        <v>119633</v>
      </c>
      <c r="CE6" s="173">
        <v>136138</v>
      </c>
      <c r="CF6" s="173">
        <f>CD6</f>
        <v>119633</v>
      </c>
      <c r="CG6" s="173">
        <f>CE6</f>
        <v>136138</v>
      </c>
      <c r="CH6" s="174">
        <v>133027</v>
      </c>
      <c r="CI6" s="175">
        <v>107457</v>
      </c>
      <c r="CJ6" s="175">
        <f>CH6</f>
        <v>133027</v>
      </c>
      <c r="CK6" s="175">
        <f>CI6</f>
        <v>107457</v>
      </c>
      <c r="CL6" s="151">
        <v>1029707</v>
      </c>
      <c r="CM6" s="152">
        <v>562016</v>
      </c>
      <c r="CN6" s="152">
        <f>CL6</f>
        <v>1029707</v>
      </c>
      <c r="CO6" s="152">
        <f>CM6</f>
        <v>562016</v>
      </c>
      <c r="CP6" s="177">
        <f aca="true" t="shared" si="2" ref="CP6:CP26">SUM(B6+F6+J6+N6+R6+V6+Z6+AD6+AH6+AL6+AP6+AT6+AX6+BB6+BF6+BJ6+BN6+BR6+BV6+BZ6+CD6+CH6+CL6)</f>
        <v>11218907</v>
      </c>
      <c r="CQ6" s="189">
        <f aca="true" t="shared" si="3" ref="CQ6:CS21">SUM(C6+G6+K6+O6+S6+W6+AA6+AE6+AI6+AM6+AQ6+AU6+AY6+BC6+BG6+BK6+BO6+BS6+BW6+CA6+CE6+CI6+CM6)</f>
        <v>9087454</v>
      </c>
      <c r="CR6" s="189">
        <f>SUM(D6+H6+L6+P6+T6+X6+AB6+AF6+AJ6+AN6+AR6+AV6+AZ6+BD6+BH6+BL6+BP6+BT6+BX6+CB6+CF6+CJ6+CN6)</f>
        <v>11218907</v>
      </c>
      <c r="CS6" s="190">
        <f t="shared" si="3"/>
        <v>9087454</v>
      </c>
      <c r="CT6" s="174">
        <v>16579422</v>
      </c>
      <c r="CU6" s="175">
        <v>16025434</v>
      </c>
      <c r="CV6" s="175">
        <f>CT6</f>
        <v>16579422</v>
      </c>
      <c r="CW6" s="175">
        <f>CU6</f>
        <v>16025434</v>
      </c>
      <c r="CX6" s="177">
        <f aca="true" t="shared" si="4" ref="CX6:CX26">CP6+CT6</f>
        <v>27798329</v>
      </c>
      <c r="CY6" s="177">
        <f aca="true" t="shared" si="5" ref="CY6:DA21">CQ6+CU6</f>
        <v>25112888</v>
      </c>
      <c r="CZ6" s="177">
        <f t="shared" si="5"/>
        <v>27798329</v>
      </c>
      <c r="DA6" s="178">
        <f t="shared" si="5"/>
        <v>25112888</v>
      </c>
    </row>
    <row r="7" spans="1:105" s="232" customFormat="1" ht="14.25">
      <c r="A7" s="251" t="s">
        <v>62</v>
      </c>
      <c r="B7" s="697">
        <v>221433</v>
      </c>
      <c r="C7" s="165">
        <v>179848</v>
      </c>
      <c r="D7" s="165">
        <f aca="true" t="shared" si="6" ref="D7:D25">B7</f>
        <v>221433</v>
      </c>
      <c r="E7" s="165">
        <f aca="true" t="shared" si="7" ref="E7:E25">C7</f>
        <v>179848</v>
      </c>
      <c r="F7" s="151">
        <v>4381</v>
      </c>
      <c r="G7" s="152">
        <v>4289</v>
      </c>
      <c r="H7" s="152">
        <f aca="true" t="shared" si="8" ref="H7:H25">F7</f>
        <v>4381</v>
      </c>
      <c r="I7" s="152">
        <f aca="true" t="shared" si="9" ref="I7:I25">G7</f>
        <v>4289</v>
      </c>
      <c r="J7" s="151">
        <v>13817</v>
      </c>
      <c r="K7" s="152">
        <v>19914</v>
      </c>
      <c r="L7" s="152">
        <f aca="true" t="shared" si="10" ref="L7:L25">J7</f>
        <v>13817</v>
      </c>
      <c r="M7" s="152">
        <f aca="true" t="shared" si="11" ref="M7:M25">K7</f>
        <v>19914</v>
      </c>
      <c r="N7" s="151">
        <v>101716</v>
      </c>
      <c r="O7" s="152">
        <v>105225</v>
      </c>
      <c r="P7" s="152">
        <f aca="true" t="shared" si="12" ref="P7:P25">N7</f>
        <v>101716</v>
      </c>
      <c r="Q7" s="152">
        <f aca="true" t="shared" si="13" ref="Q7:Q25">O7</f>
        <v>105225</v>
      </c>
      <c r="R7" s="151">
        <v>79361</v>
      </c>
      <c r="S7" s="152">
        <v>67784</v>
      </c>
      <c r="T7" s="152">
        <f aca="true" t="shared" si="14" ref="T7:T25">R7</f>
        <v>79361</v>
      </c>
      <c r="U7" s="152">
        <f aca="true" t="shared" si="15" ref="U7:U25">S7</f>
        <v>67784</v>
      </c>
      <c r="V7" s="151">
        <v>92321</v>
      </c>
      <c r="W7" s="152">
        <v>66111</v>
      </c>
      <c r="X7" s="152">
        <f aca="true" t="shared" si="16" ref="X7:X25">V7</f>
        <v>92321</v>
      </c>
      <c r="Y7" s="152">
        <f aca="true" t="shared" si="17" ref="Y7:Y25">W7</f>
        <v>66111</v>
      </c>
      <c r="Z7" s="151">
        <v>27362</v>
      </c>
      <c r="AA7" s="152">
        <v>19079</v>
      </c>
      <c r="AB7" s="152">
        <f aca="true" t="shared" si="18" ref="AB7:AB25">Z7</f>
        <v>27362</v>
      </c>
      <c r="AC7" s="152">
        <f aca="true" t="shared" si="19" ref="AC7:AC25">AA7</f>
        <v>19079</v>
      </c>
      <c r="AD7" s="187">
        <v>20833</v>
      </c>
      <c r="AE7" s="152">
        <v>13209</v>
      </c>
      <c r="AF7" s="152">
        <f aca="true" t="shared" si="20" ref="AF7:AF25">AD7</f>
        <v>20833</v>
      </c>
      <c r="AG7" s="152">
        <f aca="true" t="shared" si="21" ref="AG7:AG25">AE7</f>
        <v>13209</v>
      </c>
      <c r="AH7" s="151">
        <v>66464</v>
      </c>
      <c r="AI7" s="152">
        <v>87429</v>
      </c>
      <c r="AJ7" s="152">
        <f aca="true" t="shared" si="22" ref="AJ7:AJ25">AH7</f>
        <v>66464</v>
      </c>
      <c r="AK7" s="152">
        <f aca="true" t="shared" si="23" ref="AK7:AK25">AI7</f>
        <v>87429</v>
      </c>
      <c r="AL7" s="187">
        <v>12643</v>
      </c>
      <c r="AM7" s="152">
        <v>7336</v>
      </c>
      <c r="AN7" s="152">
        <f aca="true" t="shared" si="24" ref="AN7:AN25">AL7</f>
        <v>12643</v>
      </c>
      <c r="AO7" s="152">
        <f aca="true" t="shared" si="25" ref="AO7:AO25">AM7</f>
        <v>7336</v>
      </c>
      <c r="AP7" s="187">
        <v>335283</v>
      </c>
      <c r="AQ7" s="152">
        <v>340175</v>
      </c>
      <c r="AR7" s="152">
        <f aca="true" t="shared" si="26" ref="AR7:AR25">AP7</f>
        <v>335283</v>
      </c>
      <c r="AS7" s="152">
        <f aca="true" t="shared" si="27" ref="AS7:AS25">AQ7</f>
        <v>340175</v>
      </c>
      <c r="AT7" s="152">
        <v>736712</v>
      </c>
      <c r="AU7" s="856">
        <v>713007</v>
      </c>
      <c r="AV7" s="152">
        <f aca="true" t="shared" si="28" ref="AV7:AV25">AT7</f>
        <v>736712</v>
      </c>
      <c r="AW7" s="152">
        <f aca="true" t="shared" si="29" ref="AW7:AW25">AU7</f>
        <v>713007</v>
      </c>
      <c r="AX7" s="857">
        <v>32578</v>
      </c>
      <c r="AY7" s="171">
        <v>26546</v>
      </c>
      <c r="AZ7" s="171">
        <f aca="true" t="shared" si="30" ref="AZ7:AZ25">AX7</f>
        <v>32578</v>
      </c>
      <c r="BA7" s="171">
        <f aca="true" t="shared" si="31" ref="BA7:BA25">AY7</f>
        <v>26546</v>
      </c>
      <c r="BB7" s="151">
        <v>59615</v>
      </c>
      <c r="BC7" s="152">
        <v>47305</v>
      </c>
      <c r="BD7" s="152">
        <f aca="true" t="shared" si="32" ref="BD7:BD25">BB7</f>
        <v>59615</v>
      </c>
      <c r="BE7" s="152">
        <f aca="true" t="shared" si="33" ref="BE7:BE25">BC7</f>
        <v>47305</v>
      </c>
      <c r="BF7" s="187">
        <v>181654</v>
      </c>
      <c r="BG7" s="152">
        <v>135001</v>
      </c>
      <c r="BH7" s="152">
        <f aca="true" t="shared" si="34" ref="BH7:BH25">BF7</f>
        <v>181654</v>
      </c>
      <c r="BI7" s="152">
        <f aca="true" t="shared" si="35" ref="BI7:BI25">BG7</f>
        <v>135001</v>
      </c>
      <c r="BJ7" s="151">
        <v>406774</v>
      </c>
      <c r="BK7" s="152">
        <v>367206</v>
      </c>
      <c r="BL7" s="152">
        <f aca="true" t="shared" si="36" ref="BL7:BL25">BJ7</f>
        <v>406774</v>
      </c>
      <c r="BM7" s="152">
        <f aca="true" t="shared" si="37" ref="BM7:BM25">BK7</f>
        <v>367206</v>
      </c>
      <c r="BN7" s="151">
        <v>140375</v>
      </c>
      <c r="BO7" s="152">
        <v>112087</v>
      </c>
      <c r="BP7" s="152">
        <f aca="true" t="shared" si="38" ref="BP7:BP25">BN7</f>
        <v>140375</v>
      </c>
      <c r="BQ7" s="152">
        <f aca="true" t="shared" si="39" ref="BQ7:BQ25">BO7</f>
        <v>112087</v>
      </c>
      <c r="BR7" s="151">
        <v>118682</v>
      </c>
      <c r="BS7" s="152">
        <v>110617</v>
      </c>
      <c r="BT7" s="152">
        <f t="shared" si="0"/>
        <v>118682</v>
      </c>
      <c r="BU7" s="152">
        <f t="shared" si="0"/>
        <v>110617</v>
      </c>
      <c r="BV7" s="858"/>
      <c r="BW7" s="152"/>
      <c r="BX7" s="152"/>
      <c r="BY7" s="167"/>
      <c r="BZ7" s="331">
        <v>900927</v>
      </c>
      <c r="CA7" s="325">
        <v>720042</v>
      </c>
      <c r="CB7" s="325">
        <f t="shared" si="1"/>
        <v>900927</v>
      </c>
      <c r="CC7" s="325">
        <f t="shared" si="1"/>
        <v>720042</v>
      </c>
      <c r="CD7" s="859">
        <v>45349</v>
      </c>
      <c r="CE7" s="173">
        <v>33789</v>
      </c>
      <c r="CF7" s="173">
        <f aca="true" t="shared" si="40" ref="CF7:CF23">CD7</f>
        <v>45349</v>
      </c>
      <c r="CG7" s="173">
        <f aca="true" t="shared" si="41" ref="CG7:CG23">CE7</f>
        <v>33789</v>
      </c>
      <c r="CH7" s="174">
        <v>131379</v>
      </c>
      <c r="CI7" s="175">
        <v>52294</v>
      </c>
      <c r="CJ7" s="175">
        <f aca="true" t="shared" si="42" ref="CJ7:CJ23">CH7</f>
        <v>131379</v>
      </c>
      <c r="CK7" s="175">
        <f aca="true" t="shared" si="43" ref="CK7:CK23">CI7</f>
        <v>52294</v>
      </c>
      <c r="CL7" s="151">
        <v>187052</v>
      </c>
      <c r="CM7" s="152">
        <v>111556</v>
      </c>
      <c r="CN7" s="152">
        <f aca="true" t="shared" si="44" ref="CN7:CN23">CL7</f>
        <v>187052</v>
      </c>
      <c r="CO7" s="152">
        <f aca="true" t="shared" si="45" ref="CO7:CO23">CM7</f>
        <v>111556</v>
      </c>
      <c r="CP7" s="177">
        <f t="shared" si="2"/>
        <v>3916711</v>
      </c>
      <c r="CQ7" s="189">
        <f t="shared" si="3"/>
        <v>3339849</v>
      </c>
      <c r="CR7" s="189">
        <f t="shared" si="3"/>
        <v>3916711</v>
      </c>
      <c r="CS7" s="190">
        <f>SUM(E7+I7+M7+Q7+U7+Y7+AC7+AG7+AK7+AO7+AS7+AW7+BA7+BE7+BI7+BM7+BQ7+BU7+BY7+CC7+CG7+CK7+CO7)</f>
        <v>3339849</v>
      </c>
      <c r="CT7" s="174">
        <v>21283466</v>
      </c>
      <c r="CU7" s="175">
        <v>20287795</v>
      </c>
      <c r="CV7" s="175">
        <f aca="true" t="shared" si="46" ref="CV7:CV23">CT7</f>
        <v>21283466</v>
      </c>
      <c r="CW7" s="175">
        <f aca="true" t="shared" si="47" ref="CW7:CW23">CU7</f>
        <v>20287795</v>
      </c>
      <c r="CX7" s="177">
        <f t="shared" si="4"/>
        <v>25200177</v>
      </c>
      <c r="CY7" s="177">
        <f t="shared" si="5"/>
        <v>23627644</v>
      </c>
      <c r="CZ7" s="177">
        <f t="shared" si="5"/>
        <v>25200177</v>
      </c>
      <c r="DA7" s="178">
        <f t="shared" si="5"/>
        <v>23627644</v>
      </c>
    </row>
    <row r="8" spans="1:105" s="232" customFormat="1" ht="14.25">
      <c r="A8" s="251" t="s">
        <v>63</v>
      </c>
      <c r="B8" s="697">
        <v>19222</v>
      </c>
      <c r="C8" s="165">
        <v>9246</v>
      </c>
      <c r="D8" s="165">
        <f t="shared" si="6"/>
        <v>19222</v>
      </c>
      <c r="E8" s="165">
        <f t="shared" si="7"/>
        <v>9246</v>
      </c>
      <c r="F8" s="151">
        <v>2</v>
      </c>
      <c r="G8" s="152"/>
      <c r="H8" s="152">
        <f t="shared" si="8"/>
        <v>2</v>
      </c>
      <c r="I8" s="152">
        <f t="shared" si="9"/>
        <v>0</v>
      </c>
      <c r="J8" s="151">
        <v>-12</v>
      </c>
      <c r="K8" s="152">
        <v>6</v>
      </c>
      <c r="L8" s="152">
        <f t="shared" si="10"/>
        <v>-12</v>
      </c>
      <c r="M8" s="152">
        <f t="shared" si="11"/>
        <v>6</v>
      </c>
      <c r="N8" s="151">
        <v>127953</v>
      </c>
      <c r="O8" s="152">
        <v>51768</v>
      </c>
      <c r="P8" s="152">
        <f t="shared" si="12"/>
        <v>127953</v>
      </c>
      <c r="Q8" s="152">
        <f t="shared" si="13"/>
        <v>51768</v>
      </c>
      <c r="R8" s="151">
        <v>1843</v>
      </c>
      <c r="S8" s="152">
        <v>1658</v>
      </c>
      <c r="T8" s="152">
        <f t="shared" si="14"/>
        <v>1843</v>
      </c>
      <c r="U8" s="152">
        <f t="shared" si="15"/>
        <v>1658</v>
      </c>
      <c r="V8" s="151">
        <v>6877</v>
      </c>
      <c r="W8" s="152">
        <v>3044</v>
      </c>
      <c r="X8" s="152">
        <f t="shared" si="16"/>
        <v>6877</v>
      </c>
      <c r="Y8" s="152">
        <f t="shared" si="17"/>
        <v>3044</v>
      </c>
      <c r="Z8" s="151">
        <v>21558</v>
      </c>
      <c r="AA8" s="152">
        <v>109478</v>
      </c>
      <c r="AB8" s="152">
        <f t="shared" si="18"/>
        <v>21558</v>
      </c>
      <c r="AC8" s="152">
        <f t="shared" si="19"/>
        <v>109478</v>
      </c>
      <c r="AD8" s="187">
        <v>265</v>
      </c>
      <c r="AE8" s="152">
        <v>520</v>
      </c>
      <c r="AF8" s="152">
        <f t="shared" si="20"/>
        <v>265</v>
      </c>
      <c r="AG8" s="152">
        <f t="shared" si="21"/>
        <v>520</v>
      </c>
      <c r="AH8" s="151">
        <v>2812</v>
      </c>
      <c r="AI8" s="152">
        <v>833</v>
      </c>
      <c r="AJ8" s="152">
        <f t="shared" si="22"/>
        <v>2812</v>
      </c>
      <c r="AK8" s="152">
        <f t="shared" si="23"/>
        <v>833</v>
      </c>
      <c r="AL8" s="187">
        <v>1004</v>
      </c>
      <c r="AM8" s="152">
        <v>47</v>
      </c>
      <c r="AN8" s="152">
        <f t="shared" si="24"/>
        <v>1004</v>
      </c>
      <c r="AO8" s="152">
        <f t="shared" si="25"/>
        <v>47</v>
      </c>
      <c r="AP8" s="187">
        <v>302489</v>
      </c>
      <c r="AQ8" s="152">
        <v>223420</v>
      </c>
      <c r="AR8" s="152">
        <f t="shared" si="26"/>
        <v>302489</v>
      </c>
      <c r="AS8" s="152">
        <f t="shared" si="27"/>
        <v>223420</v>
      </c>
      <c r="AT8" s="152">
        <v>129389</v>
      </c>
      <c r="AU8" s="856">
        <v>86523</v>
      </c>
      <c r="AV8" s="152">
        <f t="shared" si="28"/>
        <v>129389</v>
      </c>
      <c r="AW8" s="152">
        <f t="shared" si="29"/>
        <v>86523</v>
      </c>
      <c r="AX8" s="857">
        <v>16338</v>
      </c>
      <c r="AY8" s="171">
        <v>14589</v>
      </c>
      <c r="AZ8" s="171">
        <f t="shared" si="30"/>
        <v>16338</v>
      </c>
      <c r="BA8" s="171">
        <f t="shared" si="31"/>
        <v>14589</v>
      </c>
      <c r="BB8" s="151">
        <v>17238</v>
      </c>
      <c r="BC8" s="152">
        <v>10994</v>
      </c>
      <c r="BD8" s="152">
        <f t="shared" si="32"/>
        <v>17238</v>
      </c>
      <c r="BE8" s="152">
        <f t="shared" si="33"/>
        <v>10994</v>
      </c>
      <c r="BF8" s="187">
        <v>85550</v>
      </c>
      <c r="BG8" s="152">
        <v>31140</v>
      </c>
      <c r="BH8" s="152">
        <f t="shared" si="34"/>
        <v>85550</v>
      </c>
      <c r="BI8" s="152">
        <f t="shared" si="35"/>
        <v>31140</v>
      </c>
      <c r="BJ8" s="151">
        <v>31118</v>
      </c>
      <c r="BK8" s="152">
        <v>23927</v>
      </c>
      <c r="BL8" s="152">
        <f t="shared" si="36"/>
        <v>31118</v>
      </c>
      <c r="BM8" s="152">
        <f t="shared" si="37"/>
        <v>23927</v>
      </c>
      <c r="BN8" s="151">
        <v>28964</v>
      </c>
      <c r="BO8" s="152">
        <v>14407</v>
      </c>
      <c r="BP8" s="152">
        <f t="shared" si="38"/>
        <v>28964</v>
      </c>
      <c r="BQ8" s="152">
        <f t="shared" si="39"/>
        <v>14407</v>
      </c>
      <c r="BR8" s="151">
        <v>1031</v>
      </c>
      <c r="BS8" s="152">
        <v>817</v>
      </c>
      <c r="BT8" s="152">
        <f t="shared" si="0"/>
        <v>1031</v>
      </c>
      <c r="BU8" s="152">
        <f t="shared" si="0"/>
        <v>817</v>
      </c>
      <c r="BV8" s="858"/>
      <c r="BW8" s="152"/>
      <c r="BX8" s="152"/>
      <c r="BY8" s="167"/>
      <c r="BZ8" s="331">
        <v>189458</v>
      </c>
      <c r="CA8" s="325">
        <v>115691</v>
      </c>
      <c r="CB8" s="325">
        <f t="shared" si="1"/>
        <v>189458</v>
      </c>
      <c r="CC8" s="325">
        <f t="shared" si="1"/>
        <v>115691</v>
      </c>
      <c r="CD8" s="859">
        <v>1145</v>
      </c>
      <c r="CE8" s="173">
        <v>1482</v>
      </c>
      <c r="CF8" s="173">
        <f t="shared" si="40"/>
        <v>1145</v>
      </c>
      <c r="CG8" s="173">
        <f t="shared" si="41"/>
        <v>1482</v>
      </c>
      <c r="CH8" s="174">
        <v>7711</v>
      </c>
      <c r="CI8" s="175">
        <v>6141</v>
      </c>
      <c r="CJ8" s="175">
        <f t="shared" si="42"/>
        <v>7711</v>
      </c>
      <c r="CK8" s="175">
        <f t="shared" si="43"/>
        <v>6141</v>
      </c>
      <c r="CL8" s="151">
        <v>19588</v>
      </c>
      <c r="CM8" s="152">
        <v>213</v>
      </c>
      <c r="CN8" s="152">
        <f t="shared" si="44"/>
        <v>19588</v>
      </c>
      <c r="CO8" s="152">
        <f t="shared" si="45"/>
        <v>213</v>
      </c>
      <c r="CP8" s="177">
        <f t="shared" si="2"/>
        <v>1011543</v>
      </c>
      <c r="CQ8" s="189">
        <f t="shared" si="3"/>
        <v>705944</v>
      </c>
      <c r="CR8" s="189">
        <f t="shared" si="3"/>
        <v>1011543</v>
      </c>
      <c r="CS8" s="190">
        <f t="shared" si="3"/>
        <v>705944</v>
      </c>
      <c r="CT8" s="174">
        <v>772384</v>
      </c>
      <c r="CU8" s="175">
        <v>698693</v>
      </c>
      <c r="CV8" s="175">
        <f t="shared" si="46"/>
        <v>772384</v>
      </c>
      <c r="CW8" s="175">
        <f t="shared" si="47"/>
        <v>698693</v>
      </c>
      <c r="CX8" s="177">
        <f t="shared" si="4"/>
        <v>1783927</v>
      </c>
      <c r="CY8" s="177">
        <f t="shared" si="5"/>
        <v>1404637</v>
      </c>
      <c r="CZ8" s="177">
        <f t="shared" si="5"/>
        <v>1783927</v>
      </c>
      <c r="DA8" s="178">
        <f t="shared" si="5"/>
        <v>1404637</v>
      </c>
    </row>
    <row r="9" spans="1:105" s="864" customFormat="1" ht="14.25">
      <c r="A9" s="252" t="s">
        <v>54</v>
      </c>
      <c r="B9" s="141">
        <f>SUM(B6:B8)</f>
        <v>793235</v>
      </c>
      <c r="C9" s="141">
        <f>SUM(C6:C8)</f>
        <v>587250</v>
      </c>
      <c r="D9" s="165">
        <f t="shared" si="6"/>
        <v>793235</v>
      </c>
      <c r="E9" s="165">
        <f t="shared" si="7"/>
        <v>587250</v>
      </c>
      <c r="F9" s="177">
        <f>SUM(F6:F8)</f>
        <v>8551</v>
      </c>
      <c r="G9" s="177">
        <f>SUM(G6:G8)</f>
        <v>6473</v>
      </c>
      <c r="H9" s="152">
        <f t="shared" si="8"/>
        <v>8551</v>
      </c>
      <c r="I9" s="152">
        <f t="shared" si="9"/>
        <v>6473</v>
      </c>
      <c r="J9" s="177">
        <f>SUM(J6:J8)</f>
        <v>35960</v>
      </c>
      <c r="K9" s="189">
        <f>SUM(K6:K8)</f>
        <v>56598</v>
      </c>
      <c r="L9" s="152">
        <f t="shared" si="10"/>
        <v>35960</v>
      </c>
      <c r="M9" s="152">
        <f t="shared" si="11"/>
        <v>56598</v>
      </c>
      <c r="N9" s="177">
        <f>SUM(N6:N8)</f>
        <v>568578</v>
      </c>
      <c r="O9" s="189">
        <f>SUM(O6:O8)</f>
        <v>467501</v>
      </c>
      <c r="P9" s="152">
        <f t="shared" si="12"/>
        <v>568578</v>
      </c>
      <c r="Q9" s="152">
        <f t="shared" si="13"/>
        <v>467501</v>
      </c>
      <c r="R9" s="177">
        <f>SUM(R6:R8)</f>
        <v>358080</v>
      </c>
      <c r="S9" s="189">
        <f>SUM(S6:S8)</f>
        <v>295397</v>
      </c>
      <c r="T9" s="152">
        <f t="shared" si="14"/>
        <v>358080</v>
      </c>
      <c r="U9" s="152">
        <f t="shared" si="15"/>
        <v>295397</v>
      </c>
      <c r="V9" s="177">
        <f>SUM(V6:V8)</f>
        <v>316372</v>
      </c>
      <c r="W9" s="189">
        <f>SUM(W6:W8)</f>
        <v>227859</v>
      </c>
      <c r="X9" s="152">
        <f t="shared" si="16"/>
        <v>316372</v>
      </c>
      <c r="Y9" s="152">
        <f t="shared" si="17"/>
        <v>227859</v>
      </c>
      <c r="Z9" s="177">
        <f>SUM(Z6:Z8)</f>
        <v>90936</v>
      </c>
      <c r="AA9" s="189">
        <f>SUM(AA6:AA8)</f>
        <v>247078</v>
      </c>
      <c r="AB9" s="152">
        <f t="shared" si="18"/>
        <v>90936</v>
      </c>
      <c r="AC9" s="152">
        <f t="shared" si="19"/>
        <v>247078</v>
      </c>
      <c r="AD9" s="189">
        <f>SUM(AD6:AD8)</f>
        <v>96973</v>
      </c>
      <c r="AE9" s="189">
        <f>SUM(AE6:AE8)</f>
        <v>63790</v>
      </c>
      <c r="AF9" s="152">
        <f t="shared" si="20"/>
        <v>96973</v>
      </c>
      <c r="AG9" s="152">
        <f t="shared" si="21"/>
        <v>63790</v>
      </c>
      <c r="AH9" s="177">
        <f>SUM(AH6:AH8)</f>
        <v>317521</v>
      </c>
      <c r="AI9" s="189">
        <f>SUM(AI6:AI8)</f>
        <v>354510</v>
      </c>
      <c r="AJ9" s="152">
        <f t="shared" si="22"/>
        <v>317521</v>
      </c>
      <c r="AK9" s="152">
        <f t="shared" si="23"/>
        <v>354510</v>
      </c>
      <c r="AL9" s="189">
        <f>SUM(AL6:AL8)</f>
        <v>71677</v>
      </c>
      <c r="AM9" s="189">
        <f>SUM(AM6:AM8)</f>
        <v>65491</v>
      </c>
      <c r="AN9" s="152">
        <f t="shared" si="24"/>
        <v>71677</v>
      </c>
      <c r="AO9" s="152">
        <f t="shared" si="25"/>
        <v>65491</v>
      </c>
      <c r="AP9" s="189">
        <f>SUM(AP6:AP8)</f>
        <v>3222273</v>
      </c>
      <c r="AQ9" s="189">
        <f>SUM(AQ6:AQ8)</f>
        <v>1981900</v>
      </c>
      <c r="AR9" s="152">
        <f t="shared" si="26"/>
        <v>3222273</v>
      </c>
      <c r="AS9" s="152">
        <f t="shared" si="27"/>
        <v>1981900</v>
      </c>
      <c r="AT9" s="189">
        <f>SUM(AT6:AT8)</f>
        <v>2648383</v>
      </c>
      <c r="AU9" s="189">
        <f>SUM(AU6:AU8)</f>
        <v>2795655</v>
      </c>
      <c r="AV9" s="152">
        <f t="shared" si="28"/>
        <v>2648383</v>
      </c>
      <c r="AW9" s="152">
        <f t="shared" si="29"/>
        <v>2795655</v>
      </c>
      <c r="AX9" s="189">
        <f>SUM(AX6:AX8)</f>
        <v>137060</v>
      </c>
      <c r="AY9" s="189">
        <f>SUM(AY6:AY8)</f>
        <v>148250</v>
      </c>
      <c r="AZ9" s="171">
        <f t="shared" si="30"/>
        <v>137060</v>
      </c>
      <c r="BA9" s="171">
        <f t="shared" si="31"/>
        <v>148250</v>
      </c>
      <c r="BB9" s="177">
        <f>SUM(BB6:BB8)</f>
        <v>223771</v>
      </c>
      <c r="BC9" s="189">
        <f>SUM(BC6:BC8)</f>
        <v>183843</v>
      </c>
      <c r="BD9" s="152">
        <f t="shared" si="32"/>
        <v>223771</v>
      </c>
      <c r="BE9" s="152">
        <f t="shared" si="33"/>
        <v>183843</v>
      </c>
      <c r="BF9" s="189">
        <f>SUM(BF6:BF8)</f>
        <v>641989</v>
      </c>
      <c r="BG9" s="189">
        <f>SUM(BG6:BG8)</f>
        <v>521314</v>
      </c>
      <c r="BH9" s="152">
        <f t="shared" si="34"/>
        <v>641989</v>
      </c>
      <c r="BI9" s="152">
        <f t="shared" si="35"/>
        <v>521314</v>
      </c>
      <c r="BJ9" s="177">
        <f>SUM(BJ6:BJ8)</f>
        <v>1583950</v>
      </c>
      <c r="BK9" s="189">
        <f>SUM(BK6:BK8)</f>
        <v>1450868</v>
      </c>
      <c r="BL9" s="152">
        <f t="shared" si="36"/>
        <v>1583950</v>
      </c>
      <c r="BM9" s="152">
        <f t="shared" si="37"/>
        <v>1450868</v>
      </c>
      <c r="BN9" s="177">
        <f>SUM(BN6:BN8)</f>
        <v>487029</v>
      </c>
      <c r="BO9" s="189">
        <f>SUM(BO6:BO8)</f>
        <v>391531</v>
      </c>
      <c r="BP9" s="152">
        <f t="shared" si="38"/>
        <v>487029</v>
      </c>
      <c r="BQ9" s="152">
        <f t="shared" si="39"/>
        <v>391531</v>
      </c>
      <c r="BR9" s="177">
        <f>SUM(BR6:BR8)</f>
        <v>376511</v>
      </c>
      <c r="BS9" s="189">
        <f>SUM(BS6:BS8)</f>
        <v>317931</v>
      </c>
      <c r="BT9" s="152">
        <f t="shared" si="0"/>
        <v>376511</v>
      </c>
      <c r="BU9" s="152">
        <f t="shared" si="0"/>
        <v>317931</v>
      </c>
      <c r="BV9" s="177">
        <f>SUM(BV6:BV8)</f>
        <v>0</v>
      </c>
      <c r="BW9" s="189">
        <f>SUM(BW6:BW8)</f>
        <v>0</v>
      </c>
      <c r="BX9" s="189"/>
      <c r="BY9" s="190"/>
      <c r="BZ9" s="177">
        <f>SUM(BZ6:BZ8)</f>
        <v>2493721</v>
      </c>
      <c r="CA9" s="189">
        <f>SUM(CA6:CA8)</f>
        <v>1958922</v>
      </c>
      <c r="CB9" s="325">
        <f t="shared" si="1"/>
        <v>2493721</v>
      </c>
      <c r="CC9" s="325">
        <f t="shared" si="1"/>
        <v>1958922</v>
      </c>
      <c r="CD9" s="177">
        <f>SUM(CD6:CD8)</f>
        <v>166127</v>
      </c>
      <c r="CE9" s="189">
        <f>SUM(CE6:CE8)</f>
        <v>171409</v>
      </c>
      <c r="CF9" s="173">
        <f t="shared" si="40"/>
        <v>166127</v>
      </c>
      <c r="CG9" s="173">
        <f t="shared" si="41"/>
        <v>171409</v>
      </c>
      <c r="CH9" s="861">
        <f>SUM(CH6:CH8)</f>
        <v>272117</v>
      </c>
      <c r="CI9" s="262">
        <f>SUM(CI6:CI8)</f>
        <v>165892</v>
      </c>
      <c r="CJ9" s="175">
        <f t="shared" si="42"/>
        <v>272117</v>
      </c>
      <c r="CK9" s="175">
        <f t="shared" si="43"/>
        <v>165892</v>
      </c>
      <c r="CL9" s="861">
        <f>SUM(CL6:CL8)</f>
        <v>1236347</v>
      </c>
      <c r="CM9" s="262">
        <f>SUM(CM6:CM8)</f>
        <v>673785</v>
      </c>
      <c r="CN9" s="152">
        <f t="shared" si="44"/>
        <v>1236347</v>
      </c>
      <c r="CO9" s="152">
        <f t="shared" si="45"/>
        <v>673785</v>
      </c>
      <c r="CP9" s="177">
        <f t="shared" si="2"/>
        <v>16147161</v>
      </c>
      <c r="CQ9" s="189">
        <f t="shared" si="3"/>
        <v>13133247</v>
      </c>
      <c r="CR9" s="189">
        <f t="shared" si="3"/>
        <v>16147161</v>
      </c>
      <c r="CS9" s="190">
        <f t="shared" si="3"/>
        <v>13133247</v>
      </c>
      <c r="CT9" s="862">
        <f>SUM(CT6:CT8)</f>
        <v>38635272</v>
      </c>
      <c r="CU9" s="862">
        <f>SUM(CU6:CU8)</f>
        <v>37011922</v>
      </c>
      <c r="CV9" s="175">
        <f t="shared" si="46"/>
        <v>38635272</v>
      </c>
      <c r="CW9" s="175">
        <f t="shared" si="47"/>
        <v>37011922</v>
      </c>
      <c r="CX9" s="177">
        <f t="shared" si="4"/>
        <v>54782433</v>
      </c>
      <c r="CY9" s="177">
        <f t="shared" si="5"/>
        <v>50145169</v>
      </c>
      <c r="CZ9" s="177">
        <f t="shared" si="5"/>
        <v>54782433</v>
      </c>
      <c r="DA9" s="178">
        <f t="shared" si="5"/>
        <v>50145169</v>
      </c>
    </row>
    <row r="10" spans="1:105" s="232" customFormat="1" ht="14.25">
      <c r="A10" s="251" t="s">
        <v>64</v>
      </c>
      <c r="B10" s="141"/>
      <c r="C10" s="865"/>
      <c r="D10" s="165">
        <f t="shared" si="6"/>
        <v>0</v>
      </c>
      <c r="E10" s="165">
        <f t="shared" si="7"/>
        <v>0</v>
      </c>
      <c r="F10" s="177"/>
      <c r="G10" s="181"/>
      <c r="H10" s="152">
        <f t="shared" si="8"/>
        <v>0</v>
      </c>
      <c r="I10" s="152">
        <f t="shared" si="9"/>
        <v>0</v>
      </c>
      <c r="J10" s="177"/>
      <c r="K10" s="181"/>
      <c r="L10" s="152">
        <f t="shared" si="10"/>
        <v>0</v>
      </c>
      <c r="M10" s="152">
        <f t="shared" si="11"/>
        <v>0</v>
      </c>
      <c r="N10" s="177"/>
      <c r="O10" s="181"/>
      <c r="P10" s="152">
        <f t="shared" si="12"/>
        <v>0</v>
      </c>
      <c r="Q10" s="152">
        <f t="shared" si="13"/>
        <v>0</v>
      </c>
      <c r="R10" s="177"/>
      <c r="S10" s="181"/>
      <c r="T10" s="152">
        <f t="shared" si="14"/>
        <v>0</v>
      </c>
      <c r="U10" s="152">
        <f t="shared" si="15"/>
        <v>0</v>
      </c>
      <c r="V10" s="177"/>
      <c r="W10" s="181"/>
      <c r="X10" s="152">
        <f t="shared" si="16"/>
        <v>0</v>
      </c>
      <c r="Y10" s="152">
        <f t="shared" si="17"/>
        <v>0</v>
      </c>
      <c r="Z10" s="177"/>
      <c r="AA10" s="181"/>
      <c r="AB10" s="152">
        <f t="shared" si="18"/>
        <v>0</v>
      </c>
      <c r="AC10" s="152">
        <f t="shared" si="19"/>
        <v>0</v>
      </c>
      <c r="AD10" s="189"/>
      <c r="AE10" s="181"/>
      <c r="AF10" s="152">
        <f t="shared" si="20"/>
        <v>0</v>
      </c>
      <c r="AG10" s="152">
        <f t="shared" si="21"/>
        <v>0</v>
      </c>
      <c r="AH10" s="177"/>
      <c r="AI10" s="181"/>
      <c r="AJ10" s="152">
        <f t="shared" si="22"/>
        <v>0</v>
      </c>
      <c r="AK10" s="152">
        <f t="shared" si="23"/>
        <v>0</v>
      </c>
      <c r="AL10" s="189"/>
      <c r="AM10" s="181"/>
      <c r="AN10" s="152">
        <f t="shared" si="24"/>
        <v>0</v>
      </c>
      <c r="AO10" s="152">
        <f t="shared" si="25"/>
        <v>0</v>
      </c>
      <c r="AP10" s="189"/>
      <c r="AQ10" s="181"/>
      <c r="AR10" s="152">
        <f t="shared" si="26"/>
        <v>0</v>
      </c>
      <c r="AS10" s="152">
        <f t="shared" si="27"/>
        <v>0</v>
      </c>
      <c r="AT10" s="189"/>
      <c r="AU10" s="181"/>
      <c r="AV10" s="152">
        <f t="shared" si="28"/>
        <v>0</v>
      </c>
      <c r="AW10" s="152">
        <f t="shared" si="29"/>
        <v>0</v>
      </c>
      <c r="AX10" s="857"/>
      <c r="AY10" s="171"/>
      <c r="AZ10" s="171">
        <f t="shared" si="30"/>
        <v>0</v>
      </c>
      <c r="BA10" s="171">
        <f t="shared" si="31"/>
        <v>0</v>
      </c>
      <c r="BB10" s="177"/>
      <c r="BC10" s="181"/>
      <c r="BD10" s="152">
        <f t="shared" si="32"/>
        <v>0</v>
      </c>
      <c r="BE10" s="152">
        <f t="shared" si="33"/>
        <v>0</v>
      </c>
      <c r="BF10" s="866"/>
      <c r="BG10" s="867"/>
      <c r="BH10" s="152">
        <f t="shared" si="34"/>
        <v>0</v>
      </c>
      <c r="BI10" s="152">
        <f t="shared" si="35"/>
        <v>0</v>
      </c>
      <c r="BJ10" s="177"/>
      <c r="BK10" s="181"/>
      <c r="BL10" s="152">
        <f t="shared" si="36"/>
        <v>0</v>
      </c>
      <c r="BM10" s="152">
        <f t="shared" si="37"/>
        <v>0</v>
      </c>
      <c r="BN10" s="177"/>
      <c r="BO10" s="181"/>
      <c r="BP10" s="152">
        <f t="shared" si="38"/>
        <v>0</v>
      </c>
      <c r="BQ10" s="152">
        <f t="shared" si="39"/>
        <v>0</v>
      </c>
      <c r="BR10" s="177"/>
      <c r="BS10" s="181"/>
      <c r="BT10" s="152">
        <f aca="true" t="shared" si="48" ref="BT10:BT19">BR10</f>
        <v>0</v>
      </c>
      <c r="BU10" s="152">
        <f aca="true" t="shared" si="49" ref="BU10:BU19">BS10</f>
        <v>0</v>
      </c>
      <c r="BV10" s="858"/>
      <c r="BW10" s="152"/>
      <c r="BX10" s="152"/>
      <c r="BY10" s="167"/>
      <c r="BZ10" s="151"/>
      <c r="CA10" s="152"/>
      <c r="CB10" s="325">
        <f aca="true" t="shared" si="50" ref="CB10:CB23">BZ10</f>
        <v>0</v>
      </c>
      <c r="CC10" s="325">
        <f aca="true" t="shared" si="51" ref="CC10:CC23">CA10</f>
        <v>0</v>
      </c>
      <c r="CD10" s="859"/>
      <c r="CE10" s="173"/>
      <c r="CF10" s="173">
        <f t="shared" si="40"/>
        <v>0</v>
      </c>
      <c r="CG10" s="173">
        <f t="shared" si="41"/>
        <v>0</v>
      </c>
      <c r="CH10" s="174"/>
      <c r="CI10" s="175"/>
      <c r="CJ10" s="175">
        <f t="shared" si="42"/>
        <v>0</v>
      </c>
      <c r="CK10" s="175">
        <f t="shared" si="43"/>
        <v>0</v>
      </c>
      <c r="CL10" s="177"/>
      <c r="CM10" s="181"/>
      <c r="CN10" s="152">
        <f t="shared" si="44"/>
        <v>0</v>
      </c>
      <c r="CO10" s="152">
        <f t="shared" si="45"/>
        <v>0</v>
      </c>
      <c r="CP10" s="177">
        <f t="shared" si="2"/>
        <v>0</v>
      </c>
      <c r="CQ10" s="189">
        <f t="shared" si="3"/>
        <v>0</v>
      </c>
      <c r="CR10" s="189">
        <f t="shared" si="3"/>
        <v>0</v>
      </c>
      <c r="CS10" s="190">
        <f t="shared" si="3"/>
        <v>0</v>
      </c>
      <c r="CT10" s="177"/>
      <c r="CU10" s="181"/>
      <c r="CV10" s="175">
        <f t="shared" si="46"/>
        <v>0</v>
      </c>
      <c r="CW10" s="175">
        <f t="shared" si="47"/>
        <v>0</v>
      </c>
      <c r="CX10" s="177">
        <f t="shared" si="4"/>
        <v>0</v>
      </c>
      <c r="CY10" s="177">
        <f t="shared" si="5"/>
        <v>0</v>
      </c>
      <c r="CZ10" s="177">
        <f t="shared" si="5"/>
        <v>0</v>
      </c>
      <c r="DA10" s="178">
        <f t="shared" si="5"/>
        <v>0</v>
      </c>
    </row>
    <row r="11" spans="1:105" s="232" customFormat="1" ht="14.25">
      <c r="A11" s="251" t="s">
        <v>65</v>
      </c>
      <c r="B11" s="697"/>
      <c r="C11" s="165"/>
      <c r="D11" s="165">
        <f t="shared" si="6"/>
        <v>0</v>
      </c>
      <c r="E11" s="165">
        <f t="shared" si="7"/>
        <v>0</v>
      </c>
      <c r="F11" s="151"/>
      <c r="G11" s="152"/>
      <c r="H11" s="152">
        <f t="shared" si="8"/>
        <v>0</v>
      </c>
      <c r="I11" s="152">
        <f t="shared" si="9"/>
        <v>0</v>
      </c>
      <c r="J11" s="151"/>
      <c r="K11" s="152"/>
      <c r="L11" s="152">
        <f t="shared" si="10"/>
        <v>0</v>
      </c>
      <c r="M11" s="152">
        <f t="shared" si="11"/>
        <v>0</v>
      </c>
      <c r="N11" s="151">
        <v>-860</v>
      </c>
      <c r="O11" s="152">
        <v>-1418</v>
      </c>
      <c r="P11" s="152">
        <f t="shared" si="12"/>
        <v>-860</v>
      </c>
      <c r="Q11" s="152">
        <f t="shared" si="13"/>
        <v>-1418</v>
      </c>
      <c r="R11" s="151"/>
      <c r="S11" s="152"/>
      <c r="T11" s="152">
        <f t="shared" si="14"/>
        <v>0</v>
      </c>
      <c r="U11" s="152">
        <f t="shared" si="15"/>
        <v>0</v>
      </c>
      <c r="V11" s="151"/>
      <c r="W11" s="152"/>
      <c r="X11" s="152">
        <f t="shared" si="16"/>
        <v>0</v>
      </c>
      <c r="Y11" s="152">
        <f t="shared" si="17"/>
        <v>0</v>
      </c>
      <c r="Z11" s="151"/>
      <c r="AA11" s="152"/>
      <c r="AB11" s="152">
        <f t="shared" si="18"/>
        <v>0</v>
      </c>
      <c r="AC11" s="152">
        <f t="shared" si="19"/>
        <v>0</v>
      </c>
      <c r="AD11" s="187"/>
      <c r="AE11" s="152"/>
      <c r="AF11" s="152">
        <f t="shared" si="20"/>
        <v>0</v>
      </c>
      <c r="AG11" s="152">
        <f t="shared" si="21"/>
        <v>0</v>
      </c>
      <c r="AH11" s="151"/>
      <c r="AI11" s="152"/>
      <c r="AJ11" s="152">
        <f t="shared" si="22"/>
        <v>0</v>
      </c>
      <c r="AK11" s="152">
        <f t="shared" si="23"/>
        <v>0</v>
      </c>
      <c r="AL11" s="187"/>
      <c r="AM11" s="152"/>
      <c r="AN11" s="152">
        <f t="shared" si="24"/>
        <v>0</v>
      </c>
      <c r="AO11" s="152">
        <f t="shared" si="25"/>
        <v>0</v>
      </c>
      <c r="AP11" s="187"/>
      <c r="AQ11" s="152"/>
      <c r="AR11" s="152">
        <f t="shared" si="26"/>
        <v>0</v>
      </c>
      <c r="AS11" s="152">
        <f t="shared" si="27"/>
        <v>0</v>
      </c>
      <c r="AT11" s="187"/>
      <c r="AU11" s="152"/>
      <c r="AV11" s="152">
        <f t="shared" si="28"/>
        <v>0</v>
      </c>
      <c r="AW11" s="152">
        <f t="shared" si="29"/>
        <v>0</v>
      </c>
      <c r="AX11" s="187"/>
      <c r="AY11" s="152"/>
      <c r="AZ11" s="171">
        <f t="shared" si="30"/>
        <v>0</v>
      </c>
      <c r="BA11" s="171">
        <f t="shared" si="31"/>
        <v>0</v>
      </c>
      <c r="BB11" s="151"/>
      <c r="BC11" s="152"/>
      <c r="BD11" s="152">
        <f t="shared" si="32"/>
        <v>0</v>
      </c>
      <c r="BE11" s="152">
        <f t="shared" si="33"/>
        <v>0</v>
      </c>
      <c r="BF11" s="187"/>
      <c r="BG11" s="152"/>
      <c r="BH11" s="152">
        <f t="shared" si="34"/>
        <v>0</v>
      </c>
      <c r="BI11" s="152">
        <f t="shared" si="35"/>
        <v>0</v>
      </c>
      <c r="BJ11" s="151"/>
      <c r="BK11" s="152"/>
      <c r="BL11" s="152">
        <f t="shared" si="36"/>
        <v>0</v>
      </c>
      <c r="BM11" s="152">
        <f t="shared" si="37"/>
        <v>0</v>
      </c>
      <c r="BN11" s="151"/>
      <c r="BO11" s="152"/>
      <c r="BP11" s="152">
        <f t="shared" si="38"/>
        <v>0</v>
      </c>
      <c r="BQ11" s="152">
        <f t="shared" si="39"/>
        <v>0</v>
      </c>
      <c r="BR11" s="151"/>
      <c r="BS11" s="152"/>
      <c r="BT11" s="152">
        <f t="shared" si="48"/>
        <v>0</v>
      </c>
      <c r="BU11" s="152">
        <f t="shared" si="49"/>
        <v>0</v>
      </c>
      <c r="BV11" s="858"/>
      <c r="BW11" s="152"/>
      <c r="BX11" s="152"/>
      <c r="BY11" s="167"/>
      <c r="BZ11" s="151"/>
      <c r="CA11" s="152"/>
      <c r="CB11" s="325">
        <f t="shared" si="50"/>
        <v>0</v>
      </c>
      <c r="CC11" s="325">
        <f t="shared" si="51"/>
        <v>0</v>
      </c>
      <c r="CD11" s="859"/>
      <c r="CE11" s="173"/>
      <c r="CF11" s="173">
        <f t="shared" si="40"/>
        <v>0</v>
      </c>
      <c r="CG11" s="173">
        <f t="shared" si="41"/>
        <v>0</v>
      </c>
      <c r="CH11" s="174"/>
      <c r="CI11" s="175"/>
      <c r="CJ11" s="175">
        <f t="shared" si="42"/>
        <v>0</v>
      </c>
      <c r="CK11" s="175">
        <f t="shared" si="43"/>
        <v>0</v>
      </c>
      <c r="CL11" s="151">
        <v>-1124</v>
      </c>
      <c r="CM11" s="152">
        <v>-1173</v>
      </c>
      <c r="CN11" s="152">
        <f t="shared" si="44"/>
        <v>-1124</v>
      </c>
      <c r="CO11" s="152">
        <f t="shared" si="45"/>
        <v>-1173</v>
      </c>
      <c r="CP11" s="177">
        <f t="shared" si="2"/>
        <v>-1984</v>
      </c>
      <c r="CQ11" s="189">
        <f t="shared" si="3"/>
        <v>-2591</v>
      </c>
      <c r="CR11" s="189">
        <f t="shared" si="3"/>
        <v>-1984</v>
      </c>
      <c r="CS11" s="190">
        <f t="shared" si="3"/>
        <v>-2591</v>
      </c>
      <c r="CT11" s="174"/>
      <c r="CU11" s="175"/>
      <c r="CV11" s="175">
        <f t="shared" si="46"/>
        <v>0</v>
      </c>
      <c r="CW11" s="175">
        <f t="shared" si="47"/>
        <v>0</v>
      </c>
      <c r="CX11" s="177">
        <f t="shared" si="4"/>
        <v>-1984</v>
      </c>
      <c r="CY11" s="177">
        <f t="shared" si="5"/>
        <v>-2591</v>
      </c>
      <c r="CZ11" s="177">
        <f t="shared" si="5"/>
        <v>-1984</v>
      </c>
      <c r="DA11" s="178">
        <f t="shared" si="5"/>
        <v>-2591</v>
      </c>
    </row>
    <row r="12" spans="1:105" s="864" customFormat="1" ht="14.25">
      <c r="A12" s="252" t="s">
        <v>66</v>
      </c>
      <c r="B12" s="141">
        <f>B9</f>
        <v>793235</v>
      </c>
      <c r="C12" s="141">
        <f>C9</f>
        <v>587250</v>
      </c>
      <c r="D12" s="165">
        <f t="shared" si="6"/>
        <v>793235</v>
      </c>
      <c r="E12" s="165">
        <f t="shared" si="7"/>
        <v>587250</v>
      </c>
      <c r="F12" s="141">
        <f>F9</f>
        <v>8551</v>
      </c>
      <c r="G12" s="141">
        <f>G9</f>
        <v>6473</v>
      </c>
      <c r="H12" s="152">
        <f t="shared" si="8"/>
        <v>8551</v>
      </c>
      <c r="I12" s="152">
        <f t="shared" si="9"/>
        <v>6473</v>
      </c>
      <c r="J12" s="141">
        <f>J9</f>
        <v>35960</v>
      </c>
      <c r="K12" s="141">
        <f>K9</f>
        <v>56598</v>
      </c>
      <c r="L12" s="152">
        <f t="shared" si="10"/>
        <v>35960</v>
      </c>
      <c r="M12" s="152">
        <f t="shared" si="11"/>
        <v>56598</v>
      </c>
      <c r="N12" s="141">
        <v>567718</v>
      </c>
      <c r="O12" s="141">
        <f>O9+O11</f>
        <v>466083</v>
      </c>
      <c r="P12" s="152">
        <f t="shared" si="12"/>
        <v>567718</v>
      </c>
      <c r="Q12" s="152">
        <f t="shared" si="13"/>
        <v>466083</v>
      </c>
      <c r="R12" s="141">
        <f>R9</f>
        <v>358080</v>
      </c>
      <c r="S12" s="141">
        <f>S9</f>
        <v>295397</v>
      </c>
      <c r="T12" s="152">
        <f t="shared" si="14"/>
        <v>358080</v>
      </c>
      <c r="U12" s="152">
        <f t="shared" si="15"/>
        <v>295397</v>
      </c>
      <c r="V12" s="141">
        <f>V9</f>
        <v>316372</v>
      </c>
      <c r="W12" s="141">
        <f>W9</f>
        <v>227859</v>
      </c>
      <c r="X12" s="152">
        <f t="shared" si="16"/>
        <v>316372</v>
      </c>
      <c r="Y12" s="152">
        <f t="shared" si="17"/>
        <v>227859</v>
      </c>
      <c r="Z12" s="141">
        <f>Z9</f>
        <v>90936</v>
      </c>
      <c r="AA12" s="141">
        <f>AA9</f>
        <v>247078</v>
      </c>
      <c r="AB12" s="152">
        <f t="shared" si="18"/>
        <v>90936</v>
      </c>
      <c r="AC12" s="152">
        <f t="shared" si="19"/>
        <v>247078</v>
      </c>
      <c r="AD12" s="180">
        <f>AD9</f>
        <v>96973</v>
      </c>
      <c r="AE12" s="141">
        <f>AE9</f>
        <v>63790</v>
      </c>
      <c r="AF12" s="152">
        <f t="shared" si="20"/>
        <v>96973</v>
      </c>
      <c r="AG12" s="152">
        <f t="shared" si="21"/>
        <v>63790</v>
      </c>
      <c r="AH12" s="141">
        <f>AH9</f>
        <v>317521</v>
      </c>
      <c r="AI12" s="141">
        <f>AI9</f>
        <v>354510</v>
      </c>
      <c r="AJ12" s="152">
        <f t="shared" si="22"/>
        <v>317521</v>
      </c>
      <c r="AK12" s="152">
        <f t="shared" si="23"/>
        <v>354510</v>
      </c>
      <c r="AL12" s="180">
        <f>AL9</f>
        <v>71677</v>
      </c>
      <c r="AM12" s="141">
        <f>AM9</f>
        <v>65491</v>
      </c>
      <c r="AN12" s="152">
        <f t="shared" si="24"/>
        <v>71677</v>
      </c>
      <c r="AO12" s="152">
        <f t="shared" si="25"/>
        <v>65491</v>
      </c>
      <c r="AP12" s="141">
        <f>AP9</f>
        <v>3222273</v>
      </c>
      <c r="AQ12" s="141">
        <f>AQ9</f>
        <v>1981900</v>
      </c>
      <c r="AR12" s="152">
        <f t="shared" si="26"/>
        <v>3222273</v>
      </c>
      <c r="AS12" s="152">
        <f t="shared" si="27"/>
        <v>1981900</v>
      </c>
      <c r="AT12" s="141">
        <f>AT9</f>
        <v>2648383</v>
      </c>
      <c r="AU12" s="141">
        <f>AU9</f>
        <v>2795655</v>
      </c>
      <c r="AV12" s="152">
        <f t="shared" si="28"/>
        <v>2648383</v>
      </c>
      <c r="AW12" s="152">
        <f t="shared" si="29"/>
        <v>2795655</v>
      </c>
      <c r="AX12" s="141">
        <f>AX9</f>
        <v>137060</v>
      </c>
      <c r="AY12" s="141">
        <f>AY9</f>
        <v>148250</v>
      </c>
      <c r="AZ12" s="171">
        <f t="shared" si="30"/>
        <v>137060</v>
      </c>
      <c r="BA12" s="171">
        <f t="shared" si="31"/>
        <v>148250</v>
      </c>
      <c r="BB12" s="141">
        <f>BB9</f>
        <v>223771</v>
      </c>
      <c r="BC12" s="141">
        <f>BC9</f>
        <v>183843</v>
      </c>
      <c r="BD12" s="152">
        <f t="shared" si="32"/>
        <v>223771</v>
      </c>
      <c r="BE12" s="152">
        <f t="shared" si="33"/>
        <v>183843</v>
      </c>
      <c r="BF12" s="141">
        <f>BF9</f>
        <v>641989</v>
      </c>
      <c r="BG12" s="141">
        <f>BG9</f>
        <v>521314</v>
      </c>
      <c r="BH12" s="152">
        <f t="shared" si="34"/>
        <v>641989</v>
      </c>
      <c r="BI12" s="152">
        <f t="shared" si="35"/>
        <v>521314</v>
      </c>
      <c r="BJ12" s="177">
        <f>BJ9</f>
        <v>1583950</v>
      </c>
      <c r="BK12" s="177">
        <f>BK9</f>
        <v>1450868</v>
      </c>
      <c r="BL12" s="152">
        <f t="shared" si="36"/>
        <v>1583950</v>
      </c>
      <c r="BM12" s="152">
        <f t="shared" si="37"/>
        <v>1450868</v>
      </c>
      <c r="BN12" s="177"/>
      <c r="BO12" s="177"/>
      <c r="BP12" s="152">
        <f t="shared" si="38"/>
        <v>0</v>
      </c>
      <c r="BQ12" s="152">
        <f t="shared" si="39"/>
        <v>0</v>
      </c>
      <c r="BR12" s="177">
        <f>BR9</f>
        <v>376511</v>
      </c>
      <c r="BS12" s="177">
        <f>BS9</f>
        <v>317931</v>
      </c>
      <c r="BT12" s="152">
        <f t="shared" si="48"/>
        <v>376511</v>
      </c>
      <c r="BU12" s="152">
        <f t="shared" si="49"/>
        <v>317931</v>
      </c>
      <c r="BV12" s="177"/>
      <c r="BW12" s="189"/>
      <c r="BX12" s="189"/>
      <c r="BY12" s="190"/>
      <c r="BZ12" s="861"/>
      <c r="CA12" s="262">
        <f>CA9</f>
        <v>1958922</v>
      </c>
      <c r="CB12" s="325">
        <f t="shared" si="50"/>
        <v>0</v>
      </c>
      <c r="CC12" s="325">
        <f t="shared" si="51"/>
        <v>1958922</v>
      </c>
      <c r="CD12" s="861">
        <f>CD9</f>
        <v>166127</v>
      </c>
      <c r="CE12" s="262">
        <f>CE9</f>
        <v>171409</v>
      </c>
      <c r="CF12" s="173">
        <f t="shared" si="40"/>
        <v>166127</v>
      </c>
      <c r="CG12" s="173">
        <f t="shared" si="41"/>
        <v>171409</v>
      </c>
      <c r="CH12" s="861">
        <f>CH9</f>
        <v>272117</v>
      </c>
      <c r="CI12" s="861">
        <f>CI9</f>
        <v>165892</v>
      </c>
      <c r="CJ12" s="175">
        <f t="shared" si="42"/>
        <v>272117</v>
      </c>
      <c r="CK12" s="175">
        <f t="shared" si="43"/>
        <v>165892</v>
      </c>
      <c r="CL12" s="861">
        <f>CL9+CL11</f>
        <v>1235223</v>
      </c>
      <c r="CM12" s="861">
        <f>CM9+CM11</f>
        <v>672612</v>
      </c>
      <c r="CN12" s="152">
        <f t="shared" si="44"/>
        <v>1235223</v>
      </c>
      <c r="CO12" s="152">
        <f t="shared" si="45"/>
        <v>672612</v>
      </c>
      <c r="CP12" s="177">
        <f t="shared" si="2"/>
        <v>13164427</v>
      </c>
      <c r="CQ12" s="189">
        <f t="shared" si="3"/>
        <v>12739125</v>
      </c>
      <c r="CR12" s="189">
        <f t="shared" si="3"/>
        <v>13164427</v>
      </c>
      <c r="CS12" s="190">
        <f t="shared" si="3"/>
        <v>12739125</v>
      </c>
      <c r="CT12" s="862">
        <f>CT9</f>
        <v>38635272</v>
      </c>
      <c r="CU12" s="863">
        <f>CU9</f>
        <v>37011922</v>
      </c>
      <c r="CV12" s="175">
        <f t="shared" si="46"/>
        <v>38635272</v>
      </c>
      <c r="CW12" s="175">
        <f t="shared" si="47"/>
        <v>37011922</v>
      </c>
      <c r="CX12" s="177">
        <f t="shared" si="4"/>
        <v>51799699</v>
      </c>
      <c r="CY12" s="177">
        <f t="shared" si="5"/>
        <v>49751047</v>
      </c>
      <c r="CZ12" s="177">
        <f t="shared" si="5"/>
        <v>51799699</v>
      </c>
      <c r="DA12" s="178">
        <f t="shared" si="5"/>
        <v>49751047</v>
      </c>
    </row>
    <row r="13" spans="1:105" s="232" customFormat="1" ht="14.25">
      <c r="A13" s="252" t="s">
        <v>67</v>
      </c>
      <c r="B13" s="697"/>
      <c r="C13" s="165"/>
      <c r="D13" s="165">
        <f t="shared" si="6"/>
        <v>0</v>
      </c>
      <c r="E13" s="165">
        <f t="shared" si="7"/>
        <v>0</v>
      </c>
      <c r="F13" s="151"/>
      <c r="G13" s="152"/>
      <c r="H13" s="152">
        <f t="shared" si="8"/>
        <v>0</v>
      </c>
      <c r="I13" s="152">
        <f t="shared" si="9"/>
        <v>0</v>
      </c>
      <c r="J13" s="151"/>
      <c r="K13" s="152"/>
      <c r="L13" s="152">
        <f t="shared" si="10"/>
        <v>0</v>
      </c>
      <c r="M13" s="152">
        <f t="shared" si="11"/>
        <v>0</v>
      </c>
      <c r="N13" s="151"/>
      <c r="O13" s="152"/>
      <c r="P13" s="152">
        <f t="shared" si="12"/>
        <v>0</v>
      </c>
      <c r="Q13" s="152">
        <f t="shared" si="13"/>
        <v>0</v>
      </c>
      <c r="R13" s="151"/>
      <c r="S13" s="152"/>
      <c r="T13" s="152">
        <f t="shared" si="14"/>
        <v>0</v>
      </c>
      <c r="U13" s="152">
        <f t="shared" si="15"/>
        <v>0</v>
      </c>
      <c r="V13" s="151"/>
      <c r="W13" s="152"/>
      <c r="X13" s="152">
        <f t="shared" si="16"/>
        <v>0</v>
      </c>
      <c r="Y13" s="152">
        <f t="shared" si="17"/>
        <v>0</v>
      </c>
      <c r="Z13" s="151"/>
      <c r="AA13" s="152"/>
      <c r="AB13" s="152">
        <f t="shared" si="18"/>
        <v>0</v>
      </c>
      <c r="AC13" s="152">
        <f t="shared" si="19"/>
        <v>0</v>
      </c>
      <c r="AD13" s="187"/>
      <c r="AE13" s="152"/>
      <c r="AF13" s="152">
        <f t="shared" si="20"/>
        <v>0</v>
      </c>
      <c r="AG13" s="152">
        <f t="shared" si="21"/>
        <v>0</v>
      </c>
      <c r="AH13" s="151"/>
      <c r="AI13" s="152"/>
      <c r="AJ13" s="152">
        <f t="shared" si="22"/>
        <v>0</v>
      </c>
      <c r="AK13" s="152">
        <f t="shared" si="23"/>
        <v>0</v>
      </c>
      <c r="AL13" s="187"/>
      <c r="AM13" s="152"/>
      <c r="AN13" s="152">
        <f t="shared" si="24"/>
        <v>0</v>
      </c>
      <c r="AO13" s="152">
        <f t="shared" si="25"/>
        <v>0</v>
      </c>
      <c r="AP13" s="187"/>
      <c r="AQ13" s="152"/>
      <c r="AR13" s="152">
        <f t="shared" si="26"/>
        <v>0</v>
      </c>
      <c r="AS13" s="152">
        <f t="shared" si="27"/>
        <v>0</v>
      </c>
      <c r="AT13" s="187"/>
      <c r="AU13" s="152"/>
      <c r="AV13" s="152">
        <f t="shared" si="28"/>
        <v>0</v>
      </c>
      <c r="AW13" s="152">
        <f t="shared" si="29"/>
        <v>0</v>
      </c>
      <c r="AX13" s="187"/>
      <c r="AY13" s="152"/>
      <c r="AZ13" s="171">
        <f t="shared" si="30"/>
        <v>0</v>
      </c>
      <c r="BA13" s="171">
        <f t="shared" si="31"/>
        <v>0</v>
      </c>
      <c r="BB13" s="151"/>
      <c r="BC13" s="152"/>
      <c r="BD13" s="152">
        <f t="shared" si="32"/>
        <v>0</v>
      </c>
      <c r="BE13" s="152">
        <f t="shared" si="33"/>
        <v>0</v>
      </c>
      <c r="BF13" s="187"/>
      <c r="BG13" s="152"/>
      <c r="BH13" s="152">
        <f t="shared" si="34"/>
        <v>0</v>
      </c>
      <c r="BI13" s="152">
        <f t="shared" si="35"/>
        <v>0</v>
      </c>
      <c r="BJ13" s="151"/>
      <c r="BK13" s="152"/>
      <c r="BL13" s="152">
        <f t="shared" si="36"/>
        <v>0</v>
      </c>
      <c r="BM13" s="152">
        <f t="shared" si="37"/>
        <v>0</v>
      </c>
      <c r="BN13" s="151"/>
      <c r="BO13" s="152"/>
      <c r="BP13" s="152">
        <f t="shared" si="38"/>
        <v>0</v>
      </c>
      <c r="BQ13" s="152">
        <f t="shared" si="39"/>
        <v>0</v>
      </c>
      <c r="BR13" s="151"/>
      <c r="BS13" s="152"/>
      <c r="BT13" s="152">
        <f t="shared" si="48"/>
        <v>0</v>
      </c>
      <c r="BU13" s="152">
        <f t="shared" si="49"/>
        <v>0</v>
      </c>
      <c r="BV13" s="858"/>
      <c r="BW13" s="152"/>
      <c r="BX13" s="152"/>
      <c r="BY13" s="167"/>
      <c r="BZ13" s="151"/>
      <c r="CA13" s="152"/>
      <c r="CB13" s="325">
        <f t="shared" si="50"/>
        <v>0</v>
      </c>
      <c r="CC13" s="325">
        <f t="shared" si="51"/>
        <v>0</v>
      </c>
      <c r="CD13" s="859"/>
      <c r="CE13" s="173"/>
      <c r="CF13" s="173">
        <f t="shared" si="40"/>
        <v>0</v>
      </c>
      <c r="CG13" s="173">
        <f t="shared" si="41"/>
        <v>0</v>
      </c>
      <c r="CH13" s="174"/>
      <c r="CI13" s="175"/>
      <c r="CJ13" s="175">
        <f t="shared" si="42"/>
        <v>0</v>
      </c>
      <c r="CK13" s="175">
        <f t="shared" si="43"/>
        <v>0</v>
      </c>
      <c r="CL13" s="151"/>
      <c r="CM13" s="152"/>
      <c r="CN13" s="152">
        <f t="shared" si="44"/>
        <v>0</v>
      </c>
      <c r="CO13" s="152">
        <f t="shared" si="45"/>
        <v>0</v>
      </c>
      <c r="CP13" s="177">
        <f t="shared" si="2"/>
        <v>0</v>
      </c>
      <c r="CQ13" s="189">
        <f t="shared" si="3"/>
        <v>0</v>
      </c>
      <c r="CR13" s="189">
        <f t="shared" si="3"/>
        <v>0</v>
      </c>
      <c r="CS13" s="190">
        <f t="shared" si="3"/>
        <v>0</v>
      </c>
      <c r="CT13" s="174"/>
      <c r="CU13" s="175"/>
      <c r="CV13" s="175">
        <f t="shared" si="46"/>
        <v>0</v>
      </c>
      <c r="CW13" s="175">
        <f t="shared" si="47"/>
        <v>0</v>
      </c>
      <c r="CX13" s="177">
        <f t="shared" si="4"/>
        <v>0</v>
      </c>
      <c r="CY13" s="177">
        <f t="shared" si="5"/>
        <v>0</v>
      </c>
      <c r="CZ13" s="177">
        <f t="shared" si="5"/>
        <v>0</v>
      </c>
      <c r="DA13" s="178">
        <f t="shared" si="5"/>
        <v>0</v>
      </c>
    </row>
    <row r="14" spans="1:105" s="232" customFormat="1" ht="14.25">
      <c r="A14" s="252" t="s">
        <v>68</v>
      </c>
      <c r="B14" s="697"/>
      <c r="C14" s="165"/>
      <c r="D14" s="165">
        <f t="shared" si="6"/>
        <v>0</v>
      </c>
      <c r="E14" s="165">
        <f t="shared" si="7"/>
        <v>0</v>
      </c>
      <c r="F14" s="151"/>
      <c r="G14" s="152"/>
      <c r="H14" s="152">
        <f t="shared" si="8"/>
        <v>0</v>
      </c>
      <c r="I14" s="152">
        <f t="shared" si="9"/>
        <v>0</v>
      </c>
      <c r="J14" s="151"/>
      <c r="K14" s="152"/>
      <c r="L14" s="152">
        <f t="shared" si="10"/>
        <v>0</v>
      </c>
      <c r="M14" s="152">
        <f t="shared" si="11"/>
        <v>0</v>
      </c>
      <c r="N14" s="151"/>
      <c r="O14" s="152"/>
      <c r="P14" s="152">
        <f t="shared" si="12"/>
        <v>0</v>
      </c>
      <c r="Q14" s="152">
        <f t="shared" si="13"/>
        <v>0</v>
      </c>
      <c r="R14" s="151"/>
      <c r="S14" s="152"/>
      <c r="T14" s="152">
        <f t="shared" si="14"/>
        <v>0</v>
      </c>
      <c r="U14" s="152">
        <f t="shared" si="15"/>
        <v>0</v>
      </c>
      <c r="V14" s="151"/>
      <c r="W14" s="152"/>
      <c r="X14" s="152">
        <f t="shared" si="16"/>
        <v>0</v>
      </c>
      <c r="Y14" s="152">
        <f t="shared" si="17"/>
        <v>0</v>
      </c>
      <c r="Z14" s="151"/>
      <c r="AA14" s="152"/>
      <c r="AB14" s="152">
        <f t="shared" si="18"/>
        <v>0</v>
      </c>
      <c r="AC14" s="152">
        <f t="shared" si="19"/>
        <v>0</v>
      </c>
      <c r="AD14" s="187"/>
      <c r="AE14" s="152"/>
      <c r="AF14" s="152">
        <f t="shared" si="20"/>
        <v>0</v>
      </c>
      <c r="AG14" s="152">
        <f t="shared" si="21"/>
        <v>0</v>
      </c>
      <c r="AH14" s="151"/>
      <c r="AI14" s="152"/>
      <c r="AJ14" s="152">
        <f t="shared" si="22"/>
        <v>0</v>
      </c>
      <c r="AK14" s="152">
        <f t="shared" si="23"/>
        <v>0</v>
      </c>
      <c r="AL14" s="187"/>
      <c r="AM14" s="152"/>
      <c r="AN14" s="152">
        <f t="shared" si="24"/>
        <v>0</v>
      </c>
      <c r="AO14" s="152">
        <f t="shared" si="25"/>
        <v>0</v>
      </c>
      <c r="AP14" s="187"/>
      <c r="AQ14" s="152"/>
      <c r="AR14" s="152">
        <f t="shared" si="26"/>
        <v>0</v>
      </c>
      <c r="AS14" s="152">
        <f t="shared" si="27"/>
        <v>0</v>
      </c>
      <c r="AT14" s="187"/>
      <c r="AU14" s="152"/>
      <c r="AV14" s="152">
        <f t="shared" si="28"/>
        <v>0</v>
      </c>
      <c r="AW14" s="152">
        <f t="shared" si="29"/>
        <v>0</v>
      </c>
      <c r="AX14" s="187"/>
      <c r="AY14" s="152"/>
      <c r="AZ14" s="171">
        <f t="shared" si="30"/>
        <v>0</v>
      </c>
      <c r="BA14" s="171">
        <f t="shared" si="31"/>
        <v>0</v>
      </c>
      <c r="BB14" s="151"/>
      <c r="BC14" s="152"/>
      <c r="BD14" s="152">
        <f t="shared" si="32"/>
        <v>0</v>
      </c>
      <c r="BE14" s="152">
        <f t="shared" si="33"/>
        <v>0</v>
      </c>
      <c r="BF14" s="187"/>
      <c r="BG14" s="152"/>
      <c r="BH14" s="152">
        <f t="shared" si="34"/>
        <v>0</v>
      </c>
      <c r="BI14" s="152">
        <f t="shared" si="35"/>
        <v>0</v>
      </c>
      <c r="BJ14" s="151"/>
      <c r="BK14" s="152"/>
      <c r="BL14" s="152">
        <f t="shared" si="36"/>
        <v>0</v>
      </c>
      <c r="BM14" s="152">
        <f t="shared" si="37"/>
        <v>0</v>
      </c>
      <c r="BN14" s="151"/>
      <c r="BO14" s="152"/>
      <c r="BP14" s="152">
        <f t="shared" si="38"/>
        <v>0</v>
      </c>
      <c r="BQ14" s="152">
        <f t="shared" si="39"/>
        <v>0</v>
      </c>
      <c r="BR14" s="151"/>
      <c r="BS14" s="152"/>
      <c r="BT14" s="152">
        <f t="shared" si="48"/>
        <v>0</v>
      </c>
      <c r="BU14" s="152">
        <f t="shared" si="49"/>
        <v>0</v>
      </c>
      <c r="BV14" s="858"/>
      <c r="BW14" s="152"/>
      <c r="BX14" s="152"/>
      <c r="BY14" s="167"/>
      <c r="BZ14" s="151"/>
      <c r="CA14" s="152"/>
      <c r="CB14" s="325">
        <f t="shared" si="50"/>
        <v>0</v>
      </c>
      <c r="CC14" s="325">
        <f t="shared" si="51"/>
        <v>0</v>
      </c>
      <c r="CD14" s="859"/>
      <c r="CE14" s="173"/>
      <c r="CF14" s="173">
        <f t="shared" si="40"/>
        <v>0</v>
      </c>
      <c r="CG14" s="173">
        <f t="shared" si="41"/>
        <v>0</v>
      </c>
      <c r="CH14" s="174"/>
      <c r="CI14" s="175"/>
      <c r="CJ14" s="175">
        <f t="shared" si="42"/>
        <v>0</v>
      </c>
      <c r="CK14" s="175">
        <f t="shared" si="43"/>
        <v>0</v>
      </c>
      <c r="CL14" s="151"/>
      <c r="CM14" s="152"/>
      <c r="CN14" s="152">
        <f t="shared" si="44"/>
        <v>0</v>
      </c>
      <c r="CO14" s="152">
        <f t="shared" si="45"/>
        <v>0</v>
      </c>
      <c r="CP14" s="177">
        <f t="shared" si="2"/>
        <v>0</v>
      </c>
      <c r="CQ14" s="189">
        <f t="shared" si="3"/>
        <v>0</v>
      </c>
      <c r="CR14" s="189">
        <f t="shared" si="3"/>
        <v>0</v>
      </c>
      <c r="CS14" s="190">
        <f t="shared" si="3"/>
        <v>0</v>
      </c>
      <c r="CT14" s="174"/>
      <c r="CU14" s="175"/>
      <c r="CV14" s="175">
        <f t="shared" si="46"/>
        <v>0</v>
      </c>
      <c r="CW14" s="175">
        <f t="shared" si="47"/>
        <v>0</v>
      </c>
      <c r="CX14" s="177">
        <f t="shared" si="4"/>
        <v>0</v>
      </c>
      <c r="CY14" s="177">
        <f t="shared" si="5"/>
        <v>0</v>
      </c>
      <c r="CZ14" s="177">
        <f t="shared" si="5"/>
        <v>0</v>
      </c>
      <c r="DA14" s="178">
        <f t="shared" si="5"/>
        <v>0</v>
      </c>
    </row>
    <row r="15" spans="1:105" s="232" customFormat="1" ht="14.25">
      <c r="A15" s="251" t="s">
        <v>69</v>
      </c>
      <c r="B15" s="141">
        <v>399615</v>
      </c>
      <c r="C15" s="865">
        <v>364591</v>
      </c>
      <c r="D15" s="165">
        <f t="shared" si="6"/>
        <v>399615</v>
      </c>
      <c r="E15" s="165">
        <f t="shared" si="7"/>
        <v>364591</v>
      </c>
      <c r="F15" s="177">
        <v>1206</v>
      </c>
      <c r="G15" s="181">
        <v>1670</v>
      </c>
      <c r="H15" s="152">
        <f t="shared" si="8"/>
        <v>1206</v>
      </c>
      <c r="I15" s="152">
        <f t="shared" si="9"/>
        <v>1670</v>
      </c>
      <c r="J15" s="177">
        <v>15454</v>
      </c>
      <c r="K15" s="181">
        <v>29573</v>
      </c>
      <c r="L15" s="152">
        <f t="shared" si="10"/>
        <v>15454</v>
      </c>
      <c r="M15" s="152">
        <f t="shared" si="11"/>
        <v>29573</v>
      </c>
      <c r="N15" s="177">
        <v>326663</v>
      </c>
      <c r="O15" s="181">
        <v>362787</v>
      </c>
      <c r="P15" s="152">
        <f t="shared" si="12"/>
        <v>326663</v>
      </c>
      <c r="Q15" s="152">
        <f t="shared" si="13"/>
        <v>362787</v>
      </c>
      <c r="R15" s="177">
        <v>123620</v>
      </c>
      <c r="S15" s="181">
        <v>103001</v>
      </c>
      <c r="T15" s="152">
        <f t="shared" si="14"/>
        <v>123620</v>
      </c>
      <c r="U15" s="152">
        <f t="shared" si="15"/>
        <v>103001</v>
      </c>
      <c r="V15" s="177"/>
      <c r="W15" s="181"/>
      <c r="X15" s="152">
        <f t="shared" si="16"/>
        <v>0</v>
      </c>
      <c r="Y15" s="152">
        <f t="shared" si="17"/>
        <v>0</v>
      </c>
      <c r="Z15" s="177">
        <v>49918</v>
      </c>
      <c r="AA15" s="181">
        <v>62317</v>
      </c>
      <c r="AB15" s="152">
        <f t="shared" si="18"/>
        <v>49918</v>
      </c>
      <c r="AC15" s="152">
        <f t="shared" si="19"/>
        <v>62317</v>
      </c>
      <c r="AD15" s="189">
        <v>69593</v>
      </c>
      <c r="AE15" s="181">
        <v>46300</v>
      </c>
      <c r="AF15" s="152">
        <f t="shared" si="20"/>
        <v>69593</v>
      </c>
      <c r="AG15" s="152">
        <f t="shared" si="21"/>
        <v>46300</v>
      </c>
      <c r="AH15" s="177">
        <v>156961</v>
      </c>
      <c r="AI15" s="181">
        <v>245510</v>
      </c>
      <c r="AJ15" s="152">
        <f t="shared" si="22"/>
        <v>156961</v>
      </c>
      <c r="AK15" s="152">
        <f t="shared" si="23"/>
        <v>245510</v>
      </c>
      <c r="AL15" s="189">
        <v>18949</v>
      </c>
      <c r="AM15" s="181">
        <v>29502</v>
      </c>
      <c r="AN15" s="152">
        <f t="shared" si="24"/>
        <v>18949</v>
      </c>
      <c r="AO15" s="152">
        <f t="shared" si="25"/>
        <v>29502</v>
      </c>
      <c r="AP15" s="189">
        <v>648266</v>
      </c>
      <c r="AQ15" s="181">
        <v>283455</v>
      </c>
      <c r="AR15" s="152">
        <f t="shared" si="26"/>
        <v>648266</v>
      </c>
      <c r="AS15" s="152">
        <f t="shared" si="27"/>
        <v>283455</v>
      </c>
      <c r="AT15" s="181">
        <v>689980</v>
      </c>
      <c r="AU15" s="181">
        <v>613918</v>
      </c>
      <c r="AV15" s="152">
        <f t="shared" si="28"/>
        <v>689980</v>
      </c>
      <c r="AW15" s="152">
        <f t="shared" si="29"/>
        <v>613918</v>
      </c>
      <c r="AX15" s="857">
        <v>15142</v>
      </c>
      <c r="AY15" s="171">
        <v>19702</v>
      </c>
      <c r="AZ15" s="171">
        <f t="shared" si="30"/>
        <v>15142</v>
      </c>
      <c r="BA15" s="171">
        <f t="shared" si="31"/>
        <v>19702</v>
      </c>
      <c r="BB15" s="177">
        <v>16817</v>
      </c>
      <c r="BC15" s="181">
        <v>9913</v>
      </c>
      <c r="BD15" s="152">
        <f t="shared" si="32"/>
        <v>16817</v>
      </c>
      <c r="BE15" s="152">
        <f t="shared" si="33"/>
        <v>9913</v>
      </c>
      <c r="BF15" s="866">
        <v>350454</v>
      </c>
      <c r="BG15" s="867">
        <v>313411</v>
      </c>
      <c r="BH15" s="152">
        <f t="shared" si="34"/>
        <v>350454</v>
      </c>
      <c r="BI15" s="152">
        <f t="shared" si="35"/>
        <v>313411</v>
      </c>
      <c r="BJ15" s="177">
        <v>566272</v>
      </c>
      <c r="BK15" s="181">
        <v>559423</v>
      </c>
      <c r="BL15" s="152">
        <f t="shared" si="36"/>
        <v>566272</v>
      </c>
      <c r="BM15" s="152">
        <f t="shared" si="37"/>
        <v>559423</v>
      </c>
      <c r="BN15" s="177">
        <v>46947</v>
      </c>
      <c r="BO15" s="181">
        <v>45391</v>
      </c>
      <c r="BP15" s="152">
        <f t="shared" si="38"/>
        <v>46947</v>
      </c>
      <c r="BQ15" s="152">
        <f t="shared" si="39"/>
        <v>45391</v>
      </c>
      <c r="BR15" s="177">
        <v>269435</v>
      </c>
      <c r="BS15" s="181">
        <v>235828</v>
      </c>
      <c r="BT15" s="152">
        <f t="shared" si="48"/>
        <v>269435</v>
      </c>
      <c r="BU15" s="152">
        <f t="shared" si="49"/>
        <v>235828</v>
      </c>
      <c r="BV15" s="858"/>
      <c r="BW15" s="152"/>
      <c r="BX15" s="152"/>
      <c r="BY15" s="167"/>
      <c r="BZ15" s="331">
        <v>935365</v>
      </c>
      <c r="CA15" s="325">
        <v>802086</v>
      </c>
      <c r="CB15" s="325">
        <f t="shared" si="50"/>
        <v>935365</v>
      </c>
      <c r="CC15" s="325">
        <f t="shared" si="51"/>
        <v>802086</v>
      </c>
      <c r="CD15" s="859">
        <v>28445</v>
      </c>
      <c r="CE15" s="173">
        <v>27152</v>
      </c>
      <c r="CF15" s="173">
        <f t="shared" si="40"/>
        <v>28445</v>
      </c>
      <c r="CG15" s="173">
        <f t="shared" si="41"/>
        <v>27152</v>
      </c>
      <c r="CH15" s="174">
        <v>2377</v>
      </c>
      <c r="CI15" s="175">
        <v>2426</v>
      </c>
      <c r="CJ15" s="175">
        <f t="shared" si="42"/>
        <v>2377</v>
      </c>
      <c r="CK15" s="175">
        <f t="shared" si="43"/>
        <v>2426</v>
      </c>
      <c r="CL15" s="177">
        <v>447142</v>
      </c>
      <c r="CM15" s="181">
        <v>275187</v>
      </c>
      <c r="CN15" s="152">
        <f t="shared" si="44"/>
        <v>447142</v>
      </c>
      <c r="CO15" s="152">
        <f t="shared" si="45"/>
        <v>275187</v>
      </c>
      <c r="CP15" s="177">
        <f t="shared" si="2"/>
        <v>5178621</v>
      </c>
      <c r="CQ15" s="189">
        <f t="shared" si="3"/>
        <v>4433143</v>
      </c>
      <c r="CR15" s="189">
        <f t="shared" si="3"/>
        <v>5178621</v>
      </c>
      <c r="CS15" s="190">
        <f t="shared" si="3"/>
        <v>4433143</v>
      </c>
      <c r="CT15" s="177">
        <v>38418055</v>
      </c>
      <c r="CU15" s="181">
        <v>36842490</v>
      </c>
      <c r="CV15" s="175">
        <f t="shared" si="46"/>
        <v>38418055</v>
      </c>
      <c r="CW15" s="175">
        <f t="shared" si="47"/>
        <v>36842490</v>
      </c>
      <c r="CX15" s="177">
        <f t="shared" si="4"/>
        <v>43596676</v>
      </c>
      <c r="CY15" s="177">
        <f t="shared" si="5"/>
        <v>41275633</v>
      </c>
      <c r="CZ15" s="177">
        <f t="shared" si="5"/>
        <v>43596676</v>
      </c>
      <c r="DA15" s="178">
        <f t="shared" si="5"/>
        <v>41275633</v>
      </c>
    </row>
    <row r="16" spans="1:105" s="232" customFormat="1" ht="14.25">
      <c r="A16" s="251" t="s">
        <v>6</v>
      </c>
      <c r="B16" s="697">
        <v>48167</v>
      </c>
      <c r="C16" s="165">
        <v>49845</v>
      </c>
      <c r="D16" s="165">
        <f t="shared" si="6"/>
        <v>48167</v>
      </c>
      <c r="E16" s="165">
        <f t="shared" si="7"/>
        <v>49845</v>
      </c>
      <c r="F16" s="151">
        <v>4206</v>
      </c>
      <c r="G16" s="152">
        <v>1915</v>
      </c>
      <c r="H16" s="152">
        <f t="shared" si="8"/>
        <v>4206</v>
      </c>
      <c r="I16" s="152">
        <f t="shared" si="9"/>
        <v>1915</v>
      </c>
      <c r="J16" s="151">
        <v>2023</v>
      </c>
      <c r="K16" s="152">
        <v>10003</v>
      </c>
      <c r="L16" s="152">
        <f t="shared" si="10"/>
        <v>2023</v>
      </c>
      <c r="M16" s="152">
        <f t="shared" si="11"/>
        <v>10003</v>
      </c>
      <c r="N16" s="151">
        <v>31384</v>
      </c>
      <c r="O16" s="152">
        <v>22932</v>
      </c>
      <c r="P16" s="152">
        <f t="shared" si="12"/>
        <v>31384</v>
      </c>
      <c r="Q16" s="152">
        <f t="shared" si="13"/>
        <v>22932</v>
      </c>
      <c r="R16" s="151">
        <v>198996</v>
      </c>
      <c r="S16" s="152">
        <v>154565</v>
      </c>
      <c r="T16" s="152">
        <f t="shared" si="14"/>
        <v>198996</v>
      </c>
      <c r="U16" s="152">
        <f t="shared" si="15"/>
        <v>154565</v>
      </c>
      <c r="V16" s="151">
        <v>116</v>
      </c>
      <c r="W16" s="152">
        <v>265</v>
      </c>
      <c r="X16" s="152">
        <f t="shared" si="16"/>
        <v>116</v>
      </c>
      <c r="Y16" s="152">
        <f t="shared" si="17"/>
        <v>265</v>
      </c>
      <c r="Z16" s="151">
        <v>5187</v>
      </c>
      <c r="AA16" s="152">
        <v>23710</v>
      </c>
      <c r="AB16" s="152">
        <f t="shared" si="18"/>
        <v>5187</v>
      </c>
      <c r="AC16" s="152">
        <f t="shared" si="19"/>
        <v>23710</v>
      </c>
      <c r="AD16" s="187">
        <v>7992</v>
      </c>
      <c r="AE16" s="152">
        <v>4868</v>
      </c>
      <c r="AF16" s="152">
        <f t="shared" si="20"/>
        <v>7992</v>
      </c>
      <c r="AG16" s="152">
        <f t="shared" si="21"/>
        <v>4868</v>
      </c>
      <c r="AH16" s="151">
        <v>118181</v>
      </c>
      <c r="AI16" s="152">
        <v>73893</v>
      </c>
      <c r="AJ16" s="152">
        <f t="shared" si="22"/>
        <v>118181</v>
      </c>
      <c r="AK16" s="152">
        <f t="shared" si="23"/>
        <v>73893</v>
      </c>
      <c r="AL16" s="187">
        <v>12515</v>
      </c>
      <c r="AM16" s="152">
        <v>2785</v>
      </c>
      <c r="AN16" s="152">
        <f t="shared" si="24"/>
        <v>12515</v>
      </c>
      <c r="AO16" s="152">
        <f t="shared" si="25"/>
        <v>2785</v>
      </c>
      <c r="AP16" s="187">
        <v>245959</v>
      </c>
      <c r="AQ16" s="152">
        <v>119317</v>
      </c>
      <c r="AR16" s="152">
        <f t="shared" si="26"/>
        <v>245959</v>
      </c>
      <c r="AS16" s="152">
        <f t="shared" si="27"/>
        <v>119317</v>
      </c>
      <c r="AT16" s="152">
        <v>190106</v>
      </c>
      <c r="AU16" s="152">
        <v>150392</v>
      </c>
      <c r="AV16" s="152">
        <f t="shared" si="28"/>
        <v>190106</v>
      </c>
      <c r="AW16" s="152">
        <f t="shared" si="29"/>
        <v>150392</v>
      </c>
      <c r="AX16" s="857">
        <v>-115</v>
      </c>
      <c r="AY16" s="171">
        <v>3407</v>
      </c>
      <c r="AZ16" s="171">
        <f t="shared" si="30"/>
        <v>-115</v>
      </c>
      <c r="BA16" s="171">
        <f t="shared" si="31"/>
        <v>3407</v>
      </c>
      <c r="BB16" s="151">
        <v>10140</v>
      </c>
      <c r="BC16" s="152">
        <v>17924</v>
      </c>
      <c r="BD16" s="152">
        <f t="shared" si="32"/>
        <v>10140</v>
      </c>
      <c r="BE16" s="152">
        <f t="shared" si="33"/>
        <v>17924</v>
      </c>
      <c r="BF16" s="187">
        <v>54363</v>
      </c>
      <c r="BG16" s="152">
        <v>36648</v>
      </c>
      <c r="BH16" s="152">
        <f t="shared" si="34"/>
        <v>54363</v>
      </c>
      <c r="BI16" s="152">
        <f t="shared" si="35"/>
        <v>36648</v>
      </c>
      <c r="BJ16" s="151">
        <v>8785</v>
      </c>
      <c r="BK16" s="152">
        <v>7928</v>
      </c>
      <c r="BL16" s="152">
        <f t="shared" si="36"/>
        <v>8785</v>
      </c>
      <c r="BM16" s="152">
        <f t="shared" si="37"/>
        <v>7928</v>
      </c>
      <c r="BN16" s="151">
        <v>22214</v>
      </c>
      <c r="BO16" s="152">
        <v>14343</v>
      </c>
      <c r="BP16" s="152">
        <f t="shared" si="38"/>
        <v>22214</v>
      </c>
      <c r="BQ16" s="152">
        <f t="shared" si="39"/>
        <v>14343</v>
      </c>
      <c r="BR16" s="151">
        <v>55829</v>
      </c>
      <c r="BS16" s="152">
        <v>45758</v>
      </c>
      <c r="BT16" s="152">
        <f t="shared" si="48"/>
        <v>55829</v>
      </c>
      <c r="BU16" s="152">
        <f t="shared" si="49"/>
        <v>45758</v>
      </c>
      <c r="BV16" s="858"/>
      <c r="BW16" s="152"/>
      <c r="BX16" s="152"/>
      <c r="BY16" s="167"/>
      <c r="BZ16" s="331">
        <v>10069</v>
      </c>
      <c r="CA16" s="325">
        <v>6610</v>
      </c>
      <c r="CB16" s="325">
        <f t="shared" si="50"/>
        <v>10069</v>
      </c>
      <c r="CC16" s="325">
        <f t="shared" si="51"/>
        <v>6610</v>
      </c>
      <c r="CD16" s="859">
        <v>12199</v>
      </c>
      <c r="CE16" s="173">
        <v>9153</v>
      </c>
      <c r="CF16" s="173">
        <f t="shared" si="40"/>
        <v>12199</v>
      </c>
      <c r="CG16" s="173">
        <f t="shared" si="41"/>
        <v>9153</v>
      </c>
      <c r="CH16" s="174">
        <v>406</v>
      </c>
      <c r="CI16" s="175">
        <v>1507</v>
      </c>
      <c r="CJ16" s="175">
        <f t="shared" si="42"/>
        <v>406</v>
      </c>
      <c r="CK16" s="175">
        <f t="shared" si="43"/>
        <v>1507</v>
      </c>
      <c r="CL16" s="151">
        <v>130026</v>
      </c>
      <c r="CM16" s="152">
        <v>20401</v>
      </c>
      <c r="CN16" s="152">
        <f t="shared" si="44"/>
        <v>130026</v>
      </c>
      <c r="CO16" s="152">
        <f t="shared" si="45"/>
        <v>20401</v>
      </c>
      <c r="CP16" s="177">
        <f t="shared" si="2"/>
        <v>1168748</v>
      </c>
      <c r="CQ16" s="189">
        <f t="shared" si="3"/>
        <v>778169</v>
      </c>
      <c r="CR16" s="189">
        <f t="shared" si="3"/>
        <v>1168748</v>
      </c>
      <c r="CS16" s="190">
        <f t="shared" si="3"/>
        <v>778169</v>
      </c>
      <c r="CT16" s="151">
        <v>4302</v>
      </c>
      <c r="CU16" s="152">
        <v>3526</v>
      </c>
      <c r="CV16" s="175">
        <f t="shared" si="46"/>
        <v>4302</v>
      </c>
      <c r="CW16" s="175">
        <f t="shared" si="47"/>
        <v>3526</v>
      </c>
      <c r="CX16" s="177">
        <f t="shared" si="4"/>
        <v>1173050</v>
      </c>
      <c r="CY16" s="177">
        <f t="shared" si="5"/>
        <v>781695</v>
      </c>
      <c r="CZ16" s="177">
        <f t="shared" si="5"/>
        <v>1173050</v>
      </c>
      <c r="DA16" s="178">
        <f t="shared" si="5"/>
        <v>781695</v>
      </c>
    </row>
    <row r="17" spans="1:105" s="232" customFormat="1" ht="14.25">
      <c r="A17" s="251" t="s">
        <v>70</v>
      </c>
      <c r="B17" s="697">
        <v>345453</v>
      </c>
      <c r="C17" s="165">
        <v>172814</v>
      </c>
      <c r="D17" s="165">
        <f t="shared" si="6"/>
        <v>345453</v>
      </c>
      <c r="E17" s="165">
        <f t="shared" si="7"/>
        <v>172814</v>
      </c>
      <c r="F17" s="151">
        <v>2683</v>
      </c>
      <c r="G17" s="152">
        <v>2838</v>
      </c>
      <c r="H17" s="152">
        <f t="shared" si="8"/>
        <v>2683</v>
      </c>
      <c r="I17" s="152">
        <f t="shared" si="9"/>
        <v>2838</v>
      </c>
      <c r="J17" s="151">
        <v>12125</v>
      </c>
      <c r="K17" s="152">
        <v>15983</v>
      </c>
      <c r="L17" s="152">
        <f t="shared" si="10"/>
        <v>12125</v>
      </c>
      <c r="M17" s="152">
        <f t="shared" si="11"/>
        <v>15983</v>
      </c>
      <c r="N17" s="151">
        <v>196018</v>
      </c>
      <c r="O17" s="152">
        <v>78831</v>
      </c>
      <c r="P17" s="152">
        <f t="shared" si="12"/>
        <v>196018</v>
      </c>
      <c r="Q17" s="152">
        <f t="shared" si="13"/>
        <v>78831</v>
      </c>
      <c r="R17" s="151">
        <v>35464</v>
      </c>
      <c r="S17" s="152">
        <v>37831</v>
      </c>
      <c r="T17" s="152">
        <f t="shared" si="14"/>
        <v>35464</v>
      </c>
      <c r="U17" s="152">
        <f t="shared" si="15"/>
        <v>37831</v>
      </c>
      <c r="V17" s="151">
        <v>2048</v>
      </c>
      <c r="W17" s="152">
        <v>1368</v>
      </c>
      <c r="X17" s="152">
        <f t="shared" si="16"/>
        <v>2048</v>
      </c>
      <c r="Y17" s="152">
        <f t="shared" si="17"/>
        <v>1368</v>
      </c>
      <c r="Z17" s="151">
        <v>24797</v>
      </c>
      <c r="AA17" s="152">
        <v>155503</v>
      </c>
      <c r="AB17" s="152">
        <f t="shared" si="18"/>
        <v>24797</v>
      </c>
      <c r="AC17" s="152">
        <f t="shared" si="19"/>
        <v>155503</v>
      </c>
      <c r="AD17" s="187">
        <v>19388</v>
      </c>
      <c r="AE17" s="152">
        <v>12622</v>
      </c>
      <c r="AF17" s="152">
        <f t="shared" si="20"/>
        <v>19388</v>
      </c>
      <c r="AG17" s="152">
        <f t="shared" si="21"/>
        <v>12622</v>
      </c>
      <c r="AH17" s="151">
        <v>23034</v>
      </c>
      <c r="AI17" s="152">
        <v>20826</v>
      </c>
      <c r="AJ17" s="152">
        <f t="shared" si="22"/>
        <v>23034</v>
      </c>
      <c r="AK17" s="152">
        <f t="shared" si="23"/>
        <v>20826</v>
      </c>
      <c r="AL17" s="187">
        <v>40213</v>
      </c>
      <c r="AM17" s="152">
        <v>33204</v>
      </c>
      <c r="AN17" s="152">
        <f t="shared" si="24"/>
        <v>40213</v>
      </c>
      <c r="AO17" s="152">
        <f t="shared" si="25"/>
        <v>33204</v>
      </c>
      <c r="AP17" s="187">
        <v>2307569</v>
      </c>
      <c r="AQ17" s="152">
        <v>1574871</v>
      </c>
      <c r="AR17" s="152">
        <f t="shared" si="26"/>
        <v>2307569</v>
      </c>
      <c r="AS17" s="152">
        <f t="shared" si="27"/>
        <v>1574871</v>
      </c>
      <c r="AT17" s="152">
        <v>1719702</v>
      </c>
      <c r="AU17" s="152">
        <v>2018565</v>
      </c>
      <c r="AV17" s="152">
        <f t="shared" si="28"/>
        <v>1719702</v>
      </c>
      <c r="AW17" s="152">
        <f t="shared" si="29"/>
        <v>2018565</v>
      </c>
      <c r="AX17" s="857">
        <v>122033</v>
      </c>
      <c r="AY17" s="171">
        <v>125141</v>
      </c>
      <c r="AZ17" s="171">
        <f t="shared" si="30"/>
        <v>122033</v>
      </c>
      <c r="BA17" s="171">
        <f t="shared" si="31"/>
        <v>125141</v>
      </c>
      <c r="BB17" s="151">
        <v>196352</v>
      </c>
      <c r="BC17" s="152">
        <v>155495</v>
      </c>
      <c r="BD17" s="152">
        <f t="shared" si="32"/>
        <v>196352</v>
      </c>
      <c r="BE17" s="152">
        <f t="shared" si="33"/>
        <v>155495</v>
      </c>
      <c r="BF17" s="187">
        <v>237099</v>
      </c>
      <c r="BG17" s="152">
        <v>171154</v>
      </c>
      <c r="BH17" s="152">
        <f t="shared" si="34"/>
        <v>237099</v>
      </c>
      <c r="BI17" s="152">
        <f t="shared" si="35"/>
        <v>171154</v>
      </c>
      <c r="BJ17" s="151">
        <v>37232</v>
      </c>
      <c r="BK17" s="152">
        <v>37871</v>
      </c>
      <c r="BL17" s="152">
        <f t="shared" si="36"/>
        <v>37232</v>
      </c>
      <c r="BM17" s="152">
        <f t="shared" si="37"/>
        <v>37871</v>
      </c>
      <c r="BN17" s="151">
        <v>417868</v>
      </c>
      <c r="BO17" s="152">
        <v>331805</v>
      </c>
      <c r="BP17" s="152">
        <f t="shared" si="38"/>
        <v>417868</v>
      </c>
      <c r="BQ17" s="152">
        <f t="shared" si="39"/>
        <v>331805</v>
      </c>
      <c r="BR17" s="151">
        <v>51243</v>
      </c>
      <c r="BS17" s="152">
        <v>36345</v>
      </c>
      <c r="BT17" s="152">
        <f t="shared" si="48"/>
        <v>51243</v>
      </c>
      <c r="BU17" s="152">
        <f t="shared" si="49"/>
        <v>36345</v>
      </c>
      <c r="BV17" s="858"/>
      <c r="BW17" s="152"/>
      <c r="BX17" s="152"/>
      <c r="BY17" s="167"/>
      <c r="BZ17" s="331">
        <v>30472</v>
      </c>
      <c r="CA17" s="325">
        <v>19594</v>
      </c>
      <c r="CB17" s="325">
        <f t="shared" si="50"/>
        <v>30472</v>
      </c>
      <c r="CC17" s="325">
        <f t="shared" si="51"/>
        <v>19594</v>
      </c>
      <c r="CD17" s="859">
        <v>125483</v>
      </c>
      <c r="CE17" s="173">
        <v>135105</v>
      </c>
      <c r="CF17" s="173">
        <f t="shared" si="40"/>
        <v>125483</v>
      </c>
      <c r="CG17" s="173">
        <f t="shared" si="41"/>
        <v>135105</v>
      </c>
      <c r="CH17" s="174"/>
      <c r="CI17" s="175"/>
      <c r="CJ17" s="175">
        <f t="shared" si="42"/>
        <v>0</v>
      </c>
      <c r="CK17" s="175">
        <f t="shared" si="43"/>
        <v>0</v>
      </c>
      <c r="CL17" s="151">
        <v>14106</v>
      </c>
      <c r="CM17" s="152">
        <v>2667</v>
      </c>
      <c r="CN17" s="152">
        <f t="shared" si="44"/>
        <v>14106</v>
      </c>
      <c r="CO17" s="152">
        <f t="shared" si="45"/>
        <v>2667</v>
      </c>
      <c r="CP17" s="177">
        <f t="shared" si="2"/>
        <v>5960382</v>
      </c>
      <c r="CQ17" s="189">
        <f t="shared" si="3"/>
        <v>5140433</v>
      </c>
      <c r="CR17" s="189">
        <f t="shared" si="3"/>
        <v>5960382</v>
      </c>
      <c r="CS17" s="190">
        <f t="shared" si="3"/>
        <v>5140433</v>
      </c>
      <c r="CT17" s="151">
        <v>35754</v>
      </c>
      <c r="CU17" s="152">
        <v>33697</v>
      </c>
      <c r="CV17" s="175">
        <f t="shared" si="46"/>
        <v>35754</v>
      </c>
      <c r="CW17" s="175">
        <f t="shared" si="47"/>
        <v>33697</v>
      </c>
      <c r="CX17" s="177">
        <f t="shared" si="4"/>
        <v>5996136</v>
      </c>
      <c r="CY17" s="177">
        <f t="shared" si="5"/>
        <v>5174130</v>
      </c>
      <c r="CZ17" s="177">
        <f t="shared" si="5"/>
        <v>5996136</v>
      </c>
      <c r="DA17" s="178">
        <f t="shared" si="5"/>
        <v>5174130</v>
      </c>
    </row>
    <row r="18" spans="1:105" s="232" customFormat="1" ht="14.25">
      <c r="A18" s="251" t="s">
        <v>71</v>
      </c>
      <c r="B18" s="697"/>
      <c r="C18" s="165"/>
      <c r="D18" s="165">
        <f t="shared" si="6"/>
        <v>0</v>
      </c>
      <c r="E18" s="165">
        <f t="shared" si="7"/>
        <v>0</v>
      </c>
      <c r="F18" s="151"/>
      <c r="G18" s="152"/>
      <c r="H18" s="152">
        <f t="shared" si="8"/>
        <v>0</v>
      </c>
      <c r="I18" s="152">
        <f t="shared" si="9"/>
        <v>0</v>
      </c>
      <c r="J18" s="151"/>
      <c r="K18" s="152"/>
      <c r="L18" s="152">
        <f t="shared" si="10"/>
        <v>0</v>
      </c>
      <c r="M18" s="152">
        <f t="shared" si="11"/>
        <v>0</v>
      </c>
      <c r="N18" s="151"/>
      <c r="O18" s="152"/>
      <c r="P18" s="152">
        <f t="shared" si="12"/>
        <v>0</v>
      </c>
      <c r="Q18" s="152">
        <f t="shared" si="13"/>
        <v>0</v>
      </c>
      <c r="R18" s="151"/>
      <c r="S18" s="152"/>
      <c r="T18" s="152">
        <f t="shared" si="14"/>
        <v>0</v>
      </c>
      <c r="U18" s="152">
        <f t="shared" si="15"/>
        <v>0</v>
      </c>
      <c r="V18" s="151">
        <v>314143</v>
      </c>
      <c r="W18" s="152">
        <v>226226</v>
      </c>
      <c r="X18" s="152">
        <f t="shared" si="16"/>
        <v>314143</v>
      </c>
      <c r="Y18" s="152">
        <f t="shared" si="17"/>
        <v>226226</v>
      </c>
      <c r="Z18" s="151">
        <v>6547</v>
      </c>
      <c r="AA18" s="152">
        <v>5069</v>
      </c>
      <c r="AB18" s="152">
        <f t="shared" si="18"/>
        <v>6547</v>
      </c>
      <c r="AC18" s="152">
        <f t="shared" si="19"/>
        <v>5069</v>
      </c>
      <c r="AD18" s="187"/>
      <c r="AE18" s="152"/>
      <c r="AF18" s="152">
        <f t="shared" si="20"/>
        <v>0</v>
      </c>
      <c r="AG18" s="152">
        <f t="shared" si="21"/>
        <v>0</v>
      </c>
      <c r="AH18" s="151">
        <v>17420</v>
      </c>
      <c r="AI18" s="152">
        <v>12326</v>
      </c>
      <c r="AJ18" s="152">
        <f t="shared" si="22"/>
        <v>17420</v>
      </c>
      <c r="AK18" s="152">
        <f t="shared" si="23"/>
        <v>12326</v>
      </c>
      <c r="AL18" s="187"/>
      <c r="AM18" s="152"/>
      <c r="AN18" s="152">
        <f t="shared" si="24"/>
        <v>0</v>
      </c>
      <c r="AO18" s="152">
        <f t="shared" si="25"/>
        <v>0</v>
      </c>
      <c r="AP18" s="187"/>
      <c r="AQ18" s="152"/>
      <c r="AR18" s="152">
        <f t="shared" si="26"/>
        <v>0</v>
      </c>
      <c r="AS18" s="152">
        <f t="shared" si="27"/>
        <v>0</v>
      </c>
      <c r="AT18" s="187"/>
      <c r="AU18" s="152"/>
      <c r="AV18" s="152">
        <f t="shared" si="28"/>
        <v>0</v>
      </c>
      <c r="AW18" s="152">
        <f t="shared" si="29"/>
        <v>0</v>
      </c>
      <c r="AX18" s="857"/>
      <c r="AY18" s="171"/>
      <c r="AZ18" s="171">
        <f t="shared" si="30"/>
        <v>0</v>
      </c>
      <c r="BA18" s="171">
        <f t="shared" si="31"/>
        <v>0</v>
      </c>
      <c r="BB18" s="151"/>
      <c r="BC18" s="152"/>
      <c r="BD18" s="152">
        <f t="shared" si="32"/>
        <v>0</v>
      </c>
      <c r="BE18" s="152">
        <f t="shared" si="33"/>
        <v>0</v>
      </c>
      <c r="BF18" s="187"/>
      <c r="BG18" s="152"/>
      <c r="BH18" s="152">
        <f t="shared" si="34"/>
        <v>0</v>
      </c>
      <c r="BI18" s="152">
        <f t="shared" si="35"/>
        <v>0</v>
      </c>
      <c r="BJ18" s="151">
        <v>971661</v>
      </c>
      <c r="BK18" s="152">
        <v>845646</v>
      </c>
      <c r="BL18" s="152">
        <f t="shared" si="36"/>
        <v>971661</v>
      </c>
      <c r="BM18" s="152">
        <f t="shared" si="37"/>
        <v>845646</v>
      </c>
      <c r="BN18" s="151"/>
      <c r="BO18" s="152"/>
      <c r="BP18" s="152">
        <f t="shared" si="38"/>
        <v>0</v>
      </c>
      <c r="BQ18" s="152">
        <f t="shared" si="39"/>
        <v>0</v>
      </c>
      <c r="BR18" s="151"/>
      <c r="BS18" s="152"/>
      <c r="BT18" s="152">
        <f t="shared" si="48"/>
        <v>0</v>
      </c>
      <c r="BU18" s="152">
        <f t="shared" si="49"/>
        <v>0</v>
      </c>
      <c r="BV18" s="858"/>
      <c r="BW18" s="152"/>
      <c r="BX18" s="152"/>
      <c r="BY18" s="167"/>
      <c r="BZ18" s="331">
        <v>1516723</v>
      </c>
      <c r="CA18" s="325">
        <v>1130551</v>
      </c>
      <c r="CB18" s="325">
        <f t="shared" si="50"/>
        <v>1516723</v>
      </c>
      <c r="CC18" s="325">
        <f t="shared" si="51"/>
        <v>1130551</v>
      </c>
      <c r="CD18" s="859"/>
      <c r="CE18" s="173"/>
      <c r="CF18" s="173">
        <f t="shared" si="40"/>
        <v>0</v>
      </c>
      <c r="CG18" s="173">
        <f t="shared" si="41"/>
        <v>0</v>
      </c>
      <c r="CH18" s="174">
        <v>269334</v>
      </c>
      <c r="CI18" s="175">
        <v>161959</v>
      </c>
      <c r="CJ18" s="175">
        <f t="shared" si="42"/>
        <v>269334</v>
      </c>
      <c r="CK18" s="175">
        <f t="shared" si="43"/>
        <v>161959</v>
      </c>
      <c r="CL18" s="151">
        <v>645073</v>
      </c>
      <c r="CM18" s="152">
        <v>375530</v>
      </c>
      <c r="CN18" s="152">
        <f t="shared" si="44"/>
        <v>645073</v>
      </c>
      <c r="CO18" s="152">
        <f t="shared" si="45"/>
        <v>375530</v>
      </c>
      <c r="CP18" s="177">
        <f t="shared" si="2"/>
        <v>3740901</v>
      </c>
      <c r="CQ18" s="189">
        <f t="shared" si="3"/>
        <v>2757307</v>
      </c>
      <c r="CR18" s="189">
        <f t="shared" si="3"/>
        <v>3740901</v>
      </c>
      <c r="CS18" s="190">
        <f t="shared" si="3"/>
        <v>2757307</v>
      </c>
      <c r="CT18" s="151">
        <v>175771</v>
      </c>
      <c r="CU18" s="152">
        <v>131175</v>
      </c>
      <c r="CV18" s="175">
        <f t="shared" si="46"/>
        <v>175771</v>
      </c>
      <c r="CW18" s="175">
        <f t="shared" si="47"/>
        <v>131175</v>
      </c>
      <c r="CX18" s="177">
        <f t="shared" si="4"/>
        <v>3916672</v>
      </c>
      <c r="CY18" s="177">
        <f t="shared" si="5"/>
        <v>2888482</v>
      </c>
      <c r="CZ18" s="177">
        <f t="shared" si="5"/>
        <v>3916672</v>
      </c>
      <c r="DA18" s="178">
        <f t="shared" si="5"/>
        <v>2888482</v>
      </c>
    </row>
    <row r="19" spans="1:105" s="232" customFormat="1" ht="14.25">
      <c r="A19" s="251" t="s">
        <v>72</v>
      </c>
      <c r="B19" s="697"/>
      <c r="C19" s="165"/>
      <c r="D19" s="165">
        <f t="shared" si="6"/>
        <v>0</v>
      </c>
      <c r="E19" s="165">
        <f t="shared" si="7"/>
        <v>0</v>
      </c>
      <c r="F19" s="151"/>
      <c r="G19" s="152"/>
      <c r="H19" s="152">
        <f t="shared" si="8"/>
        <v>0</v>
      </c>
      <c r="I19" s="152">
        <f t="shared" si="9"/>
        <v>0</v>
      </c>
      <c r="J19" s="151"/>
      <c r="K19" s="152"/>
      <c r="L19" s="152">
        <f t="shared" si="10"/>
        <v>0</v>
      </c>
      <c r="M19" s="152">
        <f t="shared" si="11"/>
        <v>0</v>
      </c>
      <c r="N19" s="151">
        <v>14513</v>
      </c>
      <c r="O19" s="152">
        <v>2951</v>
      </c>
      <c r="P19" s="152">
        <f t="shared" si="12"/>
        <v>14513</v>
      </c>
      <c r="Q19" s="152">
        <f t="shared" si="13"/>
        <v>2951</v>
      </c>
      <c r="R19" s="151"/>
      <c r="S19" s="152"/>
      <c r="T19" s="152">
        <f t="shared" si="14"/>
        <v>0</v>
      </c>
      <c r="U19" s="152">
        <f t="shared" si="15"/>
        <v>0</v>
      </c>
      <c r="V19" s="151"/>
      <c r="W19" s="152"/>
      <c r="X19" s="152">
        <f t="shared" si="16"/>
        <v>0</v>
      </c>
      <c r="Y19" s="152">
        <f t="shared" si="17"/>
        <v>0</v>
      </c>
      <c r="Z19" s="151">
        <v>4252</v>
      </c>
      <c r="AA19" s="152"/>
      <c r="AB19" s="152">
        <f t="shared" si="18"/>
        <v>4252</v>
      </c>
      <c r="AC19" s="152">
        <f t="shared" si="19"/>
        <v>0</v>
      </c>
      <c r="AD19" s="187"/>
      <c r="AE19" s="152"/>
      <c r="AF19" s="152">
        <f t="shared" si="20"/>
        <v>0</v>
      </c>
      <c r="AG19" s="152">
        <f t="shared" si="21"/>
        <v>0</v>
      </c>
      <c r="AH19" s="151"/>
      <c r="AI19" s="152"/>
      <c r="AJ19" s="152">
        <f t="shared" si="22"/>
        <v>0</v>
      </c>
      <c r="AK19" s="152">
        <f t="shared" si="23"/>
        <v>0</v>
      </c>
      <c r="AL19" s="187"/>
      <c r="AM19" s="152"/>
      <c r="AN19" s="152">
        <f t="shared" si="24"/>
        <v>0</v>
      </c>
      <c r="AO19" s="152">
        <f t="shared" si="25"/>
        <v>0</v>
      </c>
      <c r="AP19" s="187">
        <v>756</v>
      </c>
      <c r="AQ19" s="152">
        <v>3777</v>
      </c>
      <c r="AR19" s="152">
        <f t="shared" si="26"/>
        <v>756</v>
      </c>
      <c r="AS19" s="152">
        <f t="shared" si="27"/>
        <v>3777</v>
      </c>
      <c r="AT19" s="187"/>
      <c r="AU19" s="152"/>
      <c r="AV19" s="152">
        <f t="shared" si="28"/>
        <v>0</v>
      </c>
      <c r="AW19" s="152">
        <f t="shared" si="29"/>
        <v>0</v>
      </c>
      <c r="AX19" s="857"/>
      <c r="AY19" s="171"/>
      <c r="AZ19" s="171">
        <f t="shared" si="30"/>
        <v>0</v>
      </c>
      <c r="BA19" s="171">
        <f t="shared" si="31"/>
        <v>0</v>
      </c>
      <c r="BB19" s="151"/>
      <c r="BC19" s="152"/>
      <c r="BD19" s="152">
        <f t="shared" si="32"/>
        <v>0</v>
      </c>
      <c r="BE19" s="152">
        <f t="shared" si="33"/>
        <v>0</v>
      </c>
      <c r="BF19" s="187"/>
      <c r="BG19" s="152"/>
      <c r="BH19" s="152">
        <f t="shared" si="34"/>
        <v>0</v>
      </c>
      <c r="BI19" s="152">
        <f t="shared" si="35"/>
        <v>0</v>
      </c>
      <c r="BJ19" s="151"/>
      <c r="BK19" s="152"/>
      <c r="BL19" s="152">
        <f t="shared" si="36"/>
        <v>0</v>
      </c>
      <c r="BM19" s="152">
        <f t="shared" si="37"/>
        <v>0</v>
      </c>
      <c r="BN19" s="151"/>
      <c r="BO19" s="152"/>
      <c r="BP19" s="152">
        <f t="shared" si="38"/>
        <v>0</v>
      </c>
      <c r="BQ19" s="152">
        <f t="shared" si="39"/>
        <v>0</v>
      </c>
      <c r="BR19" s="151"/>
      <c r="BS19" s="152"/>
      <c r="BT19" s="152">
        <f t="shared" si="48"/>
        <v>0</v>
      </c>
      <c r="BU19" s="152">
        <f t="shared" si="49"/>
        <v>0</v>
      </c>
      <c r="BV19" s="858"/>
      <c r="BW19" s="152"/>
      <c r="BX19" s="152"/>
      <c r="BY19" s="167"/>
      <c r="BZ19" s="151"/>
      <c r="CA19" s="152"/>
      <c r="CB19" s="325">
        <f t="shared" si="50"/>
        <v>0</v>
      </c>
      <c r="CC19" s="325">
        <f t="shared" si="51"/>
        <v>0</v>
      </c>
      <c r="CD19" s="859"/>
      <c r="CE19" s="173"/>
      <c r="CF19" s="173">
        <f t="shared" si="40"/>
        <v>0</v>
      </c>
      <c r="CG19" s="173">
        <f t="shared" si="41"/>
        <v>0</v>
      </c>
      <c r="CH19" s="174"/>
      <c r="CI19" s="175"/>
      <c r="CJ19" s="175">
        <f t="shared" si="42"/>
        <v>0</v>
      </c>
      <c r="CK19" s="175">
        <f t="shared" si="43"/>
        <v>0</v>
      </c>
      <c r="CL19" s="151"/>
      <c r="CM19" s="152"/>
      <c r="CN19" s="152">
        <f t="shared" si="44"/>
        <v>0</v>
      </c>
      <c r="CO19" s="152">
        <f t="shared" si="45"/>
        <v>0</v>
      </c>
      <c r="CP19" s="177">
        <f t="shared" si="2"/>
        <v>19521</v>
      </c>
      <c r="CQ19" s="189">
        <f t="shared" si="3"/>
        <v>6728</v>
      </c>
      <c r="CR19" s="189">
        <f t="shared" si="3"/>
        <v>19521</v>
      </c>
      <c r="CS19" s="190">
        <f t="shared" si="3"/>
        <v>6728</v>
      </c>
      <c r="CT19" s="151"/>
      <c r="CU19" s="152"/>
      <c r="CV19" s="175">
        <f t="shared" si="46"/>
        <v>0</v>
      </c>
      <c r="CW19" s="175">
        <f t="shared" si="47"/>
        <v>0</v>
      </c>
      <c r="CX19" s="177">
        <f t="shared" si="4"/>
        <v>19521</v>
      </c>
      <c r="CY19" s="177">
        <f t="shared" si="5"/>
        <v>6728</v>
      </c>
      <c r="CZ19" s="177">
        <f t="shared" si="5"/>
        <v>19521</v>
      </c>
      <c r="DA19" s="178">
        <f t="shared" si="5"/>
        <v>6728</v>
      </c>
    </row>
    <row r="20" spans="1:105" s="232" customFormat="1" ht="14.25">
      <c r="A20" s="251" t="s">
        <v>15</v>
      </c>
      <c r="B20" s="141"/>
      <c r="C20" s="865"/>
      <c r="D20" s="165">
        <f t="shared" si="6"/>
        <v>0</v>
      </c>
      <c r="E20" s="165">
        <f t="shared" si="7"/>
        <v>0</v>
      </c>
      <c r="F20" s="177"/>
      <c r="G20" s="181"/>
      <c r="H20" s="152">
        <f t="shared" si="8"/>
        <v>0</v>
      </c>
      <c r="I20" s="152">
        <f t="shared" si="9"/>
        <v>0</v>
      </c>
      <c r="J20" s="177"/>
      <c r="K20" s="181"/>
      <c r="L20" s="152">
        <f t="shared" si="10"/>
        <v>0</v>
      </c>
      <c r="M20" s="152">
        <f t="shared" si="11"/>
        <v>0</v>
      </c>
      <c r="N20" s="177"/>
      <c r="O20" s="181"/>
      <c r="P20" s="152">
        <f t="shared" si="12"/>
        <v>0</v>
      </c>
      <c r="Q20" s="152">
        <f t="shared" si="13"/>
        <v>0</v>
      </c>
      <c r="R20" s="177"/>
      <c r="S20" s="181"/>
      <c r="T20" s="152">
        <f t="shared" si="14"/>
        <v>0</v>
      </c>
      <c r="U20" s="152">
        <f t="shared" si="15"/>
        <v>0</v>
      </c>
      <c r="V20" s="177"/>
      <c r="W20" s="181"/>
      <c r="X20" s="152">
        <f t="shared" si="16"/>
        <v>0</v>
      </c>
      <c r="Y20" s="152">
        <f t="shared" si="17"/>
        <v>0</v>
      </c>
      <c r="Z20" s="177"/>
      <c r="AA20" s="181"/>
      <c r="AB20" s="152">
        <f t="shared" si="18"/>
        <v>0</v>
      </c>
      <c r="AC20" s="152">
        <f t="shared" si="19"/>
        <v>0</v>
      </c>
      <c r="AD20" s="189"/>
      <c r="AE20" s="181"/>
      <c r="AF20" s="152">
        <f t="shared" si="20"/>
        <v>0</v>
      </c>
      <c r="AG20" s="152">
        <f t="shared" si="21"/>
        <v>0</v>
      </c>
      <c r="AH20" s="177"/>
      <c r="AI20" s="181"/>
      <c r="AJ20" s="152">
        <f t="shared" si="22"/>
        <v>0</v>
      </c>
      <c r="AK20" s="152">
        <f t="shared" si="23"/>
        <v>0</v>
      </c>
      <c r="AL20" s="189"/>
      <c r="AM20" s="181"/>
      <c r="AN20" s="152">
        <f t="shared" si="24"/>
        <v>0</v>
      </c>
      <c r="AO20" s="152">
        <f t="shared" si="25"/>
        <v>0</v>
      </c>
      <c r="AP20" s="189"/>
      <c r="AQ20" s="181"/>
      <c r="AR20" s="152">
        <f t="shared" si="26"/>
        <v>0</v>
      </c>
      <c r="AS20" s="152">
        <f t="shared" si="27"/>
        <v>0</v>
      </c>
      <c r="AT20" s="189"/>
      <c r="AU20" s="181"/>
      <c r="AV20" s="152">
        <f t="shared" si="28"/>
        <v>0</v>
      </c>
      <c r="AW20" s="152">
        <f t="shared" si="29"/>
        <v>0</v>
      </c>
      <c r="AX20" s="857"/>
      <c r="AY20" s="171"/>
      <c r="AZ20" s="171">
        <f t="shared" si="30"/>
        <v>0</v>
      </c>
      <c r="BA20" s="171">
        <f t="shared" si="31"/>
        <v>0</v>
      </c>
      <c r="BB20" s="177">
        <v>463</v>
      </c>
      <c r="BC20" s="181">
        <v>512</v>
      </c>
      <c r="BD20" s="152">
        <f t="shared" si="32"/>
        <v>463</v>
      </c>
      <c r="BE20" s="152">
        <f t="shared" si="33"/>
        <v>512</v>
      </c>
      <c r="BF20" s="866"/>
      <c r="BG20" s="867"/>
      <c r="BH20" s="152">
        <f t="shared" si="34"/>
        <v>0</v>
      </c>
      <c r="BI20" s="152">
        <f t="shared" si="35"/>
        <v>0</v>
      </c>
      <c r="BJ20" s="177"/>
      <c r="BK20" s="181"/>
      <c r="BL20" s="152">
        <f t="shared" si="36"/>
        <v>0</v>
      </c>
      <c r="BM20" s="152">
        <f t="shared" si="37"/>
        <v>0</v>
      </c>
      <c r="BN20" s="177"/>
      <c r="BO20" s="181"/>
      <c r="BP20" s="152">
        <f t="shared" si="38"/>
        <v>0</v>
      </c>
      <c r="BQ20" s="152">
        <f t="shared" si="39"/>
        <v>0</v>
      </c>
      <c r="BR20" s="177"/>
      <c r="BS20" s="181"/>
      <c r="BT20" s="181"/>
      <c r="BU20" s="183"/>
      <c r="BV20" s="858"/>
      <c r="BW20" s="152"/>
      <c r="BX20" s="152"/>
      <c r="BY20" s="167"/>
      <c r="BZ20" s="331"/>
      <c r="CA20" s="325"/>
      <c r="CB20" s="325">
        <f t="shared" si="50"/>
        <v>0</v>
      </c>
      <c r="CC20" s="325">
        <f t="shared" si="51"/>
        <v>0</v>
      </c>
      <c r="CD20" s="859"/>
      <c r="CE20" s="173"/>
      <c r="CF20" s="173">
        <f t="shared" si="40"/>
        <v>0</v>
      </c>
      <c r="CG20" s="173">
        <f t="shared" si="41"/>
        <v>0</v>
      </c>
      <c r="CH20" s="174"/>
      <c r="CI20" s="175"/>
      <c r="CJ20" s="175">
        <f t="shared" si="42"/>
        <v>0</v>
      </c>
      <c r="CK20" s="175">
        <f t="shared" si="43"/>
        <v>0</v>
      </c>
      <c r="CL20" s="177"/>
      <c r="CM20" s="181"/>
      <c r="CN20" s="152">
        <f t="shared" si="44"/>
        <v>0</v>
      </c>
      <c r="CO20" s="152">
        <f t="shared" si="45"/>
        <v>0</v>
      </c>
      <c r="CP20" s="177">
        <f t="shared" si="2"/>
        <v>463</v>
      </c>
      <c r="CQ20" s="189">
        <f t="shared" si="3"/>
        <v>512</v>
      </c>
      <c r="CR20" s="189">
        <f t="shared" si="3"/>
        <v>463</v>
      </c>
      <c r="CS20" s="190">
        <f t="shared" si="3"/>
        <v>512</v>
      </c>
      <c r="CT20" s="177"/>
      <c r="CU20" s="181"/>
      <c r="CV20" s="175">
        <f t="shared" si="46"/>
        <v>0</v>
      </c>
      <c r="CW20" s="175">
        <f t="shared" si="47"/>
        <v>0</v>
      </c>
      <c r="CX20" s="177">
        <f t="shared" si="4"/>
        <v>463</v>
      </c>
      <c r="CY20" s="177">
        <f t="shared" si="5"/>
        <v>512</v>
      </c>
      <c r="CZ20" s="177">
        <f t="shared" si="5"/>
        <v>463</v>
      </c>
      <c r="DA20" s="178">
        <f t="shared" si="5"/>
        <v>512</v>
      </c>
    </row>
    <row r="21" spans="1:105" s="232" customFormat="1" ht="14.25">
      <c r="A21" s="251" t="s">
        <v>17</v>
      </c>
      <c r="B21" s="697"/>
      <c r="C21" s="165"/>
      <c r="D21" s="165">
        <f t="shared" si="6"/>
        <v>0</v>
      </c>
      <c r="E21" s="165">
        <f t="shared" si="7"/>
        <v>0</v>
      </c>
      <c r="F21" s="151"/>
      <c r="G21" s="152"/>
      <c r="H21" s="152">
        <f t="shared" si="8"/>
        <v>0</v>
      </c>
      <c r="I21" s="152">
        <f t="shared" si="9"/>
        <v>0</v>
      </c>
      <c r="J21" s="151">
        <v>6358</v>
      </c>
      <c r="K21" s="152">
        <v>1039</v>
      </c>
      <c r="L21" s="152">
        <f t="shared" si="10"/>
        <v>6358</v>
      </c>
      <c r="M21" s="152">
        <f t="shared" si="11"/>
        <v>1039</v>
      </c>
      <c r="N21" s="151"/>
      <c r="O21" s="152"/>
      <c r="P21" s="152">
        <f t="shared" si="12"/>
        <v>0</v>
      </c>
      <c r="Q21" s="152">
        <f t="shared" si="13"/>
        <v>0</v>
      </c>
      <c r="R21" s="151"/>
      <c r="S21" s="152"/>
      <c r="T21" s="152">
        <f t="shared" si="14"/>
        <v>0</v>
      </c>
      <c r="U21" s="152">
        <f t="shared" si="15"/>
        <v>0</v>
      </c>
      <c r="V21" s="151"/>
      <c r="W21" s="152"/>
      <c r="X21" s="152">
        <f t="shared" si="16"/>
        <v>0</v>
      </c>
      <c r="Y21" s="152">
        <f t="shared" si="17"/>
        <v>0</v>
      </c>
      <c r="Z21" s="151"/>
      <c r="AA21" s="152"/>
      <c r="AB21" s="152">
        <f t="shared" si="18"/>
        <v>0</v>
      </c>
      <c r="AC21" s="152">
        <f t="shared" si="19"/>
        <v>0</v>
      </c>
      <c r="AD21" s="187"/>
      <c r="AE21" s="152"/>
      <c r="AF21" s="152">
        <f t="shared" si="20"/>
        <v>0</v>
      </c>
      <c r="AG21" s="152">
        <f t="shared" si="21"/>
        <v>0</v>
      </c>
      <c r="AH21" s="151">
        <v>82</v>
      </c>
      <c r="AI21" s="152">
        <v>583</v>
      </c>
      <c r="AJ21" s="152">
        <f t="shared" si="22"/>
        <v>82</v>
      </c>
      <c r="AK21" s="152">
        <f t="shared" si="23"/>
        <v>583</v>
      </c>
      <c r="AL21" s="187"/>
      <c r="AM21" s="152"/>
      <c r="AN21" s="152">
        <f t="shared" si="24"/>
        <v>0</v>
      </c>
      <c r="AO21" s="152">
        <f t="shared" si="25"/>
        <v>0</v>
      </c>
      <c r="AP21" s="187">
        <v>2417</v>
      </c>
      <c r="AQ21" s="152">
        <v>480</v>
      </c>
      <c r="AR21" s="152">
        <f t="shared" si="26"/>
        <v>2417</v>
      </c>
      <c r="AS21" s="152">
        <f t="shared" si="27"/>
        <v>480</v>
      </c>
      <c r="AT21" s="187">
        <v>3271</v>
      </c>
      <c r="AU21" s="152">
        <v>2789</v>
      </c>
      <c r="AV21" s="152">
        <f t="shared" si="28"/>
        <v>3271</v>
      </c>
      <c r="AW21" s="152">
        <f t="shared" si="29"/>
        <v>2789</v>
      </c>
      <c r="AX21" s="857"/>
      <c r="AY21" s="171"/>
      <c r="AZ21" s="171">
        <f t="shared" si="30"/>
        <v>0</v>
      </c>
      <c r="BA21" s="171">
        <f t="shared" si="31"/>
        <v>0</v>
      </c>
      <c r="BB21" s="151"/>
      <c r="BC21" s="152"/>
      <c r="BD21" s="152">
        <f t="shared" si="32"/>
        <v>0</v>
      </c>
      <c r="BE21" s="152">
        <f t="shared" si="33"/>
        <v>0</v>
      </c>
      <c r="BF21" s="187"/>
      <c r="BG21" s="152"/>
      <c r="BH21" s="152">
        <f t="shared" si="34"/>
        <v>0</v>
      </c>
      <c r="BI21" s="152">
        <f t="shared" si="35"/>
        <v>0</v>
      </c>
      <c r="BJ21" s="151"/>
      <c r="BK21" s="152"/>
      <c r="BL21" s="152">
        <f t="shared" si="36"/>
        <v>0</v>
      </c>
      <c r="BM21" s="152">
        <f t="shared" si="37"/>
        <v>0</v>
      </c>
      <c r="BN21" s="151"/>
      <c r="BO21" s="152"/>
      <c r="BP21" s="152">
        <f t="shared" si="38"/>
        <v>0</v>
      </c>
      <c r="BQ21" s="152">
        <f t="shared" si="39"/>
        <v>0</v>
      </c>
      <c r="BR21" s="151"/>
      <c r="BS21" s="152"/>
      <c r="BT21" s="152"/>
      <c r="BU21" s="167"/>
      <c r="BV21" s="858"/>
      <c r="BW21" s="152"/>
      <c r="BX21" s="152"/>
      <c r="BY21" s="167"/>
      <c r="BZ21" s="331">
        <v>41</v>
      </c>
      <c r="CA21" s="325">
        <v>81</v>
      </c>
      <c r="CB21" s="325">
        <f t="shared" si="50"/>
        <v>41</v>
      </c>
      <c r="CC21" s="325">
        <f t="shared" si="51"/>
        <v>81</v>
      </c>
      <c r="CD21" s="859"/>
      <c r="CE21" s="173"/>
      <c r="CF21" s="173">
        <f t="shared" si="40"/>
        <v>0</v>
      </c>
      <c r="CG21" s="173">
        <f t="shared" si="41"/>
        <v>0</v>
      </c>
      <c r="CH21" s="174"/>
      <c r="CI21" s="175"/>
      <c r="CJ21" s="175">
        <f t="shared" si="42"/>
        <v>0</v>
      </c>
      <c r="CK21" s="175">
        <f t="shared" si="43"/>
        <v>0</v>
      </c>
      <c r="CL21" s="151"/>
      <c r="CM21" s="152"/>
      <c r="CN21" s="152">
        <f t="shared" si="44"/>
        <v>0</v>
      </c>
      <c r="CO21" s="152">
        <f t="shared" si="45"/>
        <v>0</v>
      </c>
      <c r="CP21" s="177">
        <f t="shared" si="2"/>
        <v>12169</v>
      </c>
      <c r="CQ21" s="189">
        <f t="shared" si="3"/>
        <v>4972</v>
      </c>
      <c r="CR21" s="189">
        <f t="shared" si="3"/>
        <v>12169</v>
      </c>
      <c r="CS21" s="190">
        <f t="shared" si="3"/>
        <v>4972</v>
      </c>
      <c r="CT21" s="174">
        <v>1390</v>
      </c>
      <c r="CU21" s="175">
        <v>1034</v>
      </c>
      <c r="CV21" s="175">
        <f t="shared" si="46"/>
        <v>1390</v>
      </c>
      <c r="CW21" s="175">
        <f t="shared" si="47"/>
        <v>1034</v>
      </c>
      <c r="CX21" s="177">
        <f t="shared" si="4"/>
        <v>13559</v>
      </c>
      <c r="CY21" s="177">
        <f t="shared" si="5"/>
        <v>6006</v>
      </c>
      <c r="CZ21" s="177">
        <f t="shared" si="5"/>
        <v>13559</v>
      </c>
      <c r="DA21" s="178">
        <f t="shared" si="5"/>
        <v>6006</v>
      </c>
    </row>
    <row r="22" spans="1:105" s="232" customFormat="1" ht="14.25">
      <c r="A22" s="251" t="s">
        <v>73</v>
      </c>
      <c r="B22" s="697"/>
      <c r="C22" s="165"/>
      <c r="D22" s="165">
        <f t="shared" si="6"/>
        <v>0</v>
      </c>
      <c r="E22" s="165">
        <f t="shared" si="7"/>
        <v>0</v>
      </c>
      <c r="F22" s="151">
        <v>456</v>
      </c>
      <c r="G22" s="152">
        <v>50</v>
      </c>
      <c r="H22" s="152">
        <f t="shared" si="8"/>
        <v>456</v>
      </c>
      <c r="I22" s="152">
        <f t="shared" si="9"/>
        <v>50</v>
      </c>
      <c r="J22" s="151"/>
      <c r="K22" s="152"/>
      <c r="L22" s="152">
        <f t="shared" si="10"/>
        <v>0</v>
      </c>
      <c r="M22" s="152">
        <f t="shared" si="11"/>
        <v>0</v>
      </c>
      <c r="N22" s="151"/>
      <c r="O22" s="152"/>
      <c r="P22" s="152">
        <f t="shared" si="12"/>
        <v>0</v>
      </c>
      <c r="Q22" s="152">
        <f t="shared" si="13"/>
        <v>0</v>
      </c>
      <c r="R22" s="151"/>
      <c r="S22" s="152"/>
      <c r="T22" s="152">
        <f t="shared" si="14"/>
        <v>0</v>
      </c>
      <c r="U22" s="152">
        <f t="shared" si="15"/>
        <v>0</v>
      </c>
      <c r="V22" s="151">
        <v>65</v>
      </c>
      <c r="W22" s="152"/>
      <c r="X22" s="152">
        <f t="shared" si="16"/>
        <v>65</v>
      </c>
      <c r="Y22" s="152">
        <f t="shared" si="17"/>
        <v>0</v>
      </c>
      <c r="Z22" s="151"/>
      <c r="AA22" s="152"/>
      <c r="AB22" s="152">
        <f t="shared" si="18"/>
        <v>0</v>
      </c>
      <c r="AC22" s="152">
        <f t="shared" si="19"/>
        <v>0</v>
      </c>
      <c r="AD22" s="187"/>
      <c r="AE22" s="152"/>
      <c r="AF22" s="152">
        <f t="shared" si="20"/>
        <v>0</v>
      </c>
      <c r="AG22" s="152">
        <f t="shared" si="21"/>
        <v>0</v>
      </c>
      <c r="AH22" s="151"/>
      <c r="AI22" s="152"/>
      <c r="AJ22" s="152">
        <f t="shared" si="22"/>
        <v>0</v>
      </c>
      <c r="AK22" s="152">
        <f t="shared" si="23"/>
        <v>0</v>
      </c>
      <c r="AL22" s="187"/>
      <c r="AM22" s="152"/>
      <c r="AN22" s="152">
        <f t="shared" si="24"/>
        <v>0</v>
      </c>
      <c r="AO22" s="152">
        <f t="shared" si="25"/>
        <v>0</v>
      </c>
      <c r="AP22" s="187">
        <v>17306</v>
      </c>
      <c r="AQ22" s="152"/>
      <c r="AR22" s="152">
        <f t="shared" si="26"/>
        <v>17306</v>
      </c>
      <c r="AS22" s="152">
        <f t="shared" si="27"/>
        <v>0</v>
      </c>
      <c r="AT22" s="187">
        <v>45324</v>
      </c>
      <c r="AU22" s="152">
        <v>9991</v>
      </c>
      <c r="AV22" s="152">
        <f t="shared" si="28"/>
        <v>45324</v>
      </c>
      <c r="AW22" s="152">
        <f t="shared" si="29"/>
        <v>9991</v>
      </c>
      <c r="AX22" s="857"/>
      <c r="AY22" s="171"/>
      <c r="AZ22" s="171">
        <f t="shared" si="30"/>
        <v>0</v>
      </c>
      <c r="BA22" s="171">
        <f t="shared" si="31"/>
        <v>0</v>
      </c>
      <c r="BB22" s="151"/>
      <c r="BC22" s="152"/>
      <c r="BD22" s="152">
        <f t="shared" si="32"/>
        <v>0</v>
      </c>
      <c r="BE22" s="152">
        <f t="shared" si="33"/>
        <v>0</v>
      </c>
      <c r="BF22" s="187"/>
      <c r="BG22" s="152"/>
      <c r="BH22" s="152">
        <f t="shared" si="34"/>
        <v>0</v>
      </c>
      <c r="BI22" s="152">
        <f t="shared" si="35"/>
        <v>0</v>
      </c>
      <c r="BJ22" s="151"/>
      <c r="BK22" s="152"/>
      <c r="BL22" s="152">
        <f t="shared" si="36"/>
        <v>0</v>
      </c>
      <c r="BM22" s="152">
        <f t="shared" si="37"/>
        <v>0</v>
      </c>
      <c r="BN22" s="151"/>
      <c r="BO22" s="152"/>
      <c r="BP22" s="152">
        <f t="shared" si="38"/>
        <v>0</v>
      </c>
      <c r="BQ22" s="152">
        <f t="shared" si="39"/>
        <v>0</v>
      </c>
      <c r="BR22" s="151"/>
      <c r="BS22" s="152"/>
      <c r="BT22" s="152"/>
      <c r="BU22" s="167"/>
      <c r="BV22" s="858"/>
      <c r="BW22" s="152"/>
      <c r="BX22" s="152"/>
      <c r="BY22" s="167"/>
      <c r="BZ22" s="331">
        <v>1052</v>
      </c>
      <c r="CA22" s="325"/>
      <c r="CB22" s="325">
        <f t="shared" si="50"/>
        <v>1052</v>
      </c>
      <c r="CC22" s="325">
        <f t="shared" si="51"/>
        <v>0</v>
      </c>
      <c r="CD22" s="859"/>
      <c r="CE22" s="173"/>
      <c r="CF22" s="173">
        <f t="shared" si="40"/>
        <v>0</v>
      </c>
      <c r="CG22" s="173">
        <f t="shared" si="41"/>
        <v>0</v>
      </c>
      <c r="CH22" s="174"/>
      <c r="CI22" s="175"/>
      <c r="CJ22" s="175">
        <f t="shared" si="42"/>
        <v>0</v>
      </c>
      <c r="CK22" s="175">
        <f t="shared" si="43"/>
        <v>0</v>
      </c>
      <c r="CL22" s="151"/>
      <c r="CM22" s="152"/>
      <c r="CN22" s="152">
        <f t="shared" si="44"/>
        <v>0</v>
      </c>
      <c r="CO22" s="152">
        <f t="shared" si="45"/>
        <v>0</v>
      </c>
      <c r="CP22" s="177">
        <f t="shared" si="2"/>
        <v>64203</v>
      </c>
      <c r="CQ22" s="189">
        <f aca="true" t="shared" si="52" ref="CQ22:CS26">SUM(C22+G22+K22+O22+S22+W22+AA22+AE22+AI22+AM22+AQ22+AU22+AY22+BC22+BG22+BK22+BO22+BS22+BW22+CA22+CE22+CI22+CM22)</f>
        <v>10041</v>
      </c>
      <c r="CR22" s="189">
        <f t="shared" si="52"/>
        <v>64203</v>
      </c>
      <c r="CS22" s="190">
        <f t="shared" si="52"/>
        <v>10041</v>
      </c>
      <c r="CT22" s="174"/>
      <c r="CU22" s="175"/>
      <c r="CV22" s="175">
        <f t="shared" si="46"/>
        <v>0</v>
      </c>
      <c r="CW22" s="175">
        <f t="shared" si="47"/>
        <v>0</v>
      </c>
      <c r="CX22" s="177">
        <f t="shared" si="4"/>
        <v>64203</v>
      </c>
      <c r="CY22" s="177">
        <f aca="true" t="shared" si="53" ref="CY22:DA26">CQ22+CU22</f>
        <v>10041</v>
      </c>
      <c r="CZ22" s="177">
        <f t="shared" si="53"/>
        <v>64203</v>
      </c>
      <c r="DA22" s="178">
        <f t="shared" si="53"/>
        <v>10041</v>
      </c>
    </row>
    <row r="23" spans="1:105" s="232" customFormat="1" ht="14.25">
      <c r="A23" s="251" t="s">
        <v>74</v>
      </c>
      <c r="B23" s="869"/>
      <c r="C23" s="870"/>
      <c r="D23" s="165">
        <f t="shared" si="6"/>
        <v>0</v>
      </c>
      <c r="E23" s="165">
        <f t="shared" si="7"/>
        <v>0</v>
      </c>
      <c r="F23" s="208"/>
      <c r="G23" s="205"/>
      <c r="H23" s="152">
        <f t="shared" si="8"/>
        <v>0</v>
      </c>
      <c r="I23" s="152">
        <f t="shared" si="9"/>
        <v>0</v>
      </c>
      <c r="J23" s="208"/>
      <c r="K23" s="205"/>
      <c r="L23" s="152">
        <f t="shared" si="10"/>
        <v>0</v>
      </c>
      <c r="M23" s="152">
        <f t="shared" si="11"/>
        <v>0</v>
      </c>
      <c r="N23" s="208"/>
      <c r="O23" s="205"/>
      <c r="P23" s="152">
        <f t="shared" si="12"/>
        <v>0</v>
      </c>
      <c r="Q23" s="152">
        <f t="shared" si="13"/>
        <v>0</v>
      </c>
      <c r="R23" s="208"/>
      <c r="S23" s="205"/>
      <c r="T23" s="152">
        <f t="shared" si="14"/>
        <v>0</v>
      </c>
      <c r="U23" s="152">
        <f t="shared" si="15"/>
        <v>0</v>
      </c>
      <c r="V23" s="208"/>
      <c r="W23" s="205"/>
      <c r="X23" s="152">
        <f t="shared" si="16"/>
        <v>0</v>
      </c>
      <c r="Y23" s="152">
        <f t="shared" si="17"/>
        <v>0</v>
      </c>
      <c r="Z23" s="208">
        <v>235</v>
      </c>
      <c r="AA23" s="205">
        <v>479</v>
      </c>
      <c r="AB23" s="152">
        <f t="shared" si="18"/>
        <v>235</v>
      </c>
      <c r="AC23" s="152">
        <f t="shared" si="19"/>
        <v>479</v>
      </c>
      <c r="AD23" s="204"/>
      <c r="AE23" s="205"/>
      <c r="AF23" s="152">
        <f t="shared" si="20"/>
        <v>0</v>
      </c>
      <c r="AG23" s="152">
        <f t="shared" si="21"/>
        <v>0</v>
      </c>
      <c r="AH23" s="208">
        <v>1733</v>
      </c>
      <c r="AI23" s="205">
        <v>1371</v>
      </c>
      <c r="AJ23" s="152">
        <f t="shared" si="22"/>
        <v>1733</v>
      </c>
      <c r="AK23" s="152">
        <f t="shared" si="23"/>
        <v>1371</v>
      </c>
      <c r="AL23" s="204"/>
      <c r="AM23" s="205"/>
      <c r="AN23" s="152">
        <f t="shared" si="24"/>
        <v>0</v>
      </c>
      <c r="AO23" s="152">
        <f t="shared" si="25"/>
        <v>0</v>
      </c>
      <c r="AP23" s="204"/>
      <c r="AQ23" s="205"/>
      <c r="AR23" s="152">
        <f t="shared" si="26"/>
        <v>0</v>
      </c>
      <c r="AS23" s="152">
        <f t="shared" si="27"/>
        <v>0</v>
      </c>
      <c r="AT23" s="204"/>
      <c r="AU23" s="205"/>
      <c r="AV23" s="152">
        <f t="shared" si="28"/>
        <v>0</v>
      </c>
      <c r="AW23" s="152">
        <f t="shared" si="29"/>
        <v>0</v>
      </c>
      <c r="AX23" s="871"/>
      <c r="AY23" s="872"/>
      <c r="AZ23" s="171">
        <f t="shared" si="30"/>
        <v>0</v>
      </c>
      <c r="BA23" s="171">
        <f t="shared" si="31"/>
        <v>0</v>
      </c>
      <c r="BB23" s="208"/>
      <c r="BC23" s="205"/>
      <c r="BD23" s="152">
        <f t="shared" si="32"/>
        <v>0</v>
      </c>
      <c r="BE23" s="152">
        <f t="shared" si="33"/>
        <v>0</v>
      </c>
      <c r="BF23" s="204">
        <v>73</v>
      </c>
      <c r="BG23" s="205">
        <v>101</v>
      </c>
      <c r="BH23" s="152">
        <f t="shared" si="34"/>
        <v>73</v>
      </c>
      <c r="BI23" s="152">
        <f t="shared" si="35"/>
        <v>101</v>
      </c>
      <c r="BJ23" s="208"/>
      <c r="BK23" s="205"/>
      <c r="BL23" s="152">
        <f t="shared" si="36"/>
        <v>0</v>
      </c>
      <c r="BM23" s="152">
        <f t="shared" si="37"/>
        <v>0</v>
      </c>
      <c r="BN23" s="208"/>
      <c r="BO23" s="205">
        <v>-8</v>
      </c>
      <c r="BP23" s="152">
        <f t="shared" si="38"/>
        <v>0</v>
      </c>
      <c r="BQ23" s="152">
        <f t="shared" si="39"/>
        <v>-8</v>
      </c>
      <c r="BR23" s="208"/>
      <c r="BS23" s="205"/>
      <c r="BT23" s="205"/>
      <c r="BU23" s="209"/>
      <c r="BV23" s="873"/>
      <c r="BW23" s="205"/>
      <c r="BX23" s="205"/>
      <c r="BY23" s="209"/>
      <c r="BZ23" s="874"/>
      <c r="CA23" s="875"/>
      <c r="CB23" s="325">
        <f t="shared" si="50"/>
        <v>0</v>
      </c>
      <c r="CC23" s="325">
        <f t="shared" si="51"/>
        <v>0</v>
      </c>
      <c r="CD23" s="877"/>
      <c r="CE23" s="213"/>
      <c r="CF23" s="173">
        <f t="shared" si="40"/>
        <v>0</v>
      </c>
      <c r="CG23" s="173">
        <f t="shared" si="41"/>
        <v>0</v>
      </c>
      <c r="CH23" s="215"/>
      <c r="CI23" s="216"/>
      <c r="CJ23" s="175">
        <f t="shared" si="42"/>
        <v>0</v>
      </c>
      <c r="CK23" s="175">
        <f t="shared" si="43"/>
        <v>0</v>
      </c>
      <c r="CL23" s="208"/>
      <c r="CM23" s="205"/>
      <c r="CN23" s="152">
        <f t="shared" si="44"/>
        <v>0</v>
      </c>
      <c r="CO23" s="152">
        <f t="shared" si="45"/>
        <v>0</v>
      </c>
      <c r="CP23" s="177">
        <f t="shared" si="2"/>
        <v>2041</v>
      </c>
      <c r="CQ23" s="189">
        <f t="shared" si="52"/>
        <v>1943</v>
      </c>
      <c r="CR23" s="189">
        <f t="shared" si="52"/>
        <v>2041</v>
      </c>
      <c r="CS23" s="190">
        <f t="shared" si="52"/>
        <v>1943</v>
      </c>
      <c r="CT23" s="215"/>
      <c r="CU23" s="216"/>
      <c r="CV23" s="175">
        <f t="shared" si="46"/>
        <v>0</v>
      </c>
      <c r="CW23" s="175">
        <f t="shared" si="47"/>
        <v>0</v>
      </c>
      <c r="CX23" s="177">
        <f t="shared" si="4"/>
        <v>2041</v>
      </c>
      <c r="CY23" s="177">
        <f t="shared" si="53"/>
        <v>1943</v>
      </c>
      <c r="CZ23" s="177">
        <f t="shared" si="53"/>
        <v>2041</v>
      </c>
      <c r="DA23" s="178">
        <f t="shared" si="53"/>
        <v>1943</v>
      </c>
    </row>
    <row r="24" spans="1:105" s="232" customFormat="1" ht="14.25">
      <c r="A24" s="876" t="s">
        <v>16</v>
      </c>
      <c r="B24" s="869"/>
      <c r="C24" s="870"/>
      <c r="D24" s="165">
        <f t="shared" si="6"/>
        <v>0</v>
      </c>
      <c r="E24" s="165">
        <f t="shared" si="7"/>
        <v>0</v>
      </c>
      <c r="F24" s="208"/>
      <c r="G24" s="204"/>
      <c r="H24" s="152">
        <f t="shared" si="8"/>
        <v>0</v>
      </c>
      <c r="I24" s="152">
        <f t="shared" si="9"/>
        <v>0</v>
      </c>
      <c r="J24" s="208"/>
      <c r="K24" s="204"/>
      <c r="L24" s="152">
        <f t="shared" si="10"/>
        <v>0</v>
      </c>
      <c r="M24" s="152">
        <f t="shared" si="11"/>
        <v>0</v>
      </c>
      <c r="N24" s="208"/>
      <c r="O24" s="204"/>
      <c r="P24" s="152">
        <f t="shared" si="12"/>
        <v>0</v>
      </c>
      <c r="Q24" s="152">
        <f t="shared" si="13"/>
        <v>0</v>
      </c>
      <c r="R24" s="208"/>
      <c r="S24" s="205"/>
      <c r="T24" s="152">
        <f t="shared" si="14"/>
        <v>0</v>
      </c>
      <c r="U24" s="152">
        <f t="shared" si="15"/>
        <v>0</v>
      </c>
      <c r="V24" s="208"/>
      <c r="W24" s="205"/>
      <c r="X24" s="152">
        <f t="shared" si="16"/>
        <v>0</v>
      </c>
      <c r="Y24" s="152">
        <f t="shared" si="17"/>
        <v>0</v>
      </c>
      <c r="Z24" s="208"/>
      <c r="AA24" s="205"/>
      <c r="AB24" s="152">
        <f t="shared" si="18"/>
        <v>0</v>
      </c>
      <c r="AC24" s="152">
        <f t="shared" si="19"/>
        <v>0</v>
      </c>
      <c r="AD24" s="204"/>
      <c r="AE24" s="205"/>
      <c r="AF24" s="152">
        <f t="shared" si="20"/>
        <v>0</v>
      </c>
      <c r="AG24" s="152">
        <f t="shared" si="21"/>
        <v>0</v>
      </c>
      <c r="AH24" s="208">
        <v>110</v>
      </c>
      <c r="AI24" s="205"/>
      <c r="AJ24" s="152">
        <f t="shared" si="22"/>
        <v>110</v>
      </c>
      <c r="AK24" s="152">
        <f t="shared" si="23"/>
        <v>0</v>
      </c>
      <c r="AL24" s="204"/>
      <c r="AM24" s="205"/>
      <c r="AN24" s="152">
        <f t="shared" si="24"/>
        <v>0</v>
      </c>
      <c r="AO24" s="152">
        <f t="shared" si="25"/>
        <v>0</v>
      </c>
      <c r="AP24" s="204"/>
      <c r="AQ24" s="205"/>
      <c r="AR24" s="152">
        <f t="shared" si="26"/>
        <v>0</v>
      </c>
      <c r="AS24" s="152">
        <f t="shared" si="27"/>
        <v>0</v>
      </c>
      <c r="AT24" s="204"/>
      <c r="AU24" s="205"/>
      <c r="AV24" s="152">
        <f t="shared" si="28"/>
        <v>0</v>
      </c>
      <c r="AW24" s="152">
        <f t="shared" si="29"/>
        <v>0</v>
      </c>
      <c r="AX24" s="871"/>
      <c r="AY24" s="872"/>
      <c r="AZ24" s="171">
        <f t="shared" si="30"/>
        <v>0</v>
      </c>
      <c r="BA24" s="171">
        <f t="shared" si="31"/>
        <v>0</v>
      </c>
      <c r="BB24" s="208"/>
      <c r="BC24" s="205"/>
      <c r="BD24" s="152">
        <f t="shared" si="32"/>
        <v>0</v>
      </c>
      <c r="BE24" s="152">
        <f t="shared" si="33"/>
        <v>0</v>
      </c>
      <c r="BF24" s="204"/>
      <c r="BG24" s="205"/>
      <c r="BH24" s="152">
        <f t="shared" si="34"/>
        <v>0</v>
      </c>
      <c r="BI24" s="152">
        <f t="shared" si="35"/>
        <v>0</v>
      </c>
      <c r="BJ24" s="208"/>
      <c r="BK24" s="205"/>
      <c r="BL24" s="152">
        <f t="shared" si="36"/>
        <v>0</v>
      </c>
      <c r="BM24" s="152">
        <f t="shared" si="37"/>
        <v>0</v>
      </c>
      <c r="BN24" s="208"/>
      <c r="BO24" s="205"/>
      <c r="BP24" s="152">
        <f t="shared" si="38"/>
        <v>0</v>
      </c>
      <c r="BQ24" s="152">
        <f t="shared" si="39"/>
        <v>0</v>
      </c>
      <c r="BR24" s="208"/>
      <c r="BS24" s="205"/>
      <c r="BT24" s="205"/>
      <c r="BU24" s="209"/>
      <c r="BV24" s="873"/>
      <c r="BW24" s="205"/>
      <c r="BX24" s="205"/>
      <c r="BY24" s="209"/>
      <c r="BZ24" s="874"/>
      <c r="CA24" s="875"/>
      <c r="CB24" s="875"/>
      <c r="CC24" s="876"/>
      <c r="CD24" s="877"/>
      <c r="CE24" s="213"/>
      <c r="CF24" s="213"/>
      <c r="CG24" s="214"/>
      <c r="CH24" s="215"/>
      <c r="CI24" s="216"/>
      <c r="CJ24" s="216"/>
      <c r="CK24" s="217"/>
      <c r="CL24" s="208"/>
      <c r="CM24" s="205"/>
      <c r="CN24" s="205"/>
      <c r="CO24" s="209"/>
      <c r="CP24" s="218"/>
      <c r="CQ24" s="219"/>
      <c r="CR24" s="219"/>
      <c r="CS24" s="220"/>
      <c r="CT24" s="215"/>
      <c r="CU24" s="216"/>
      <c r="CV24" s="175">
        <f>CT24</f>
        <v>0</v>
      </c>
      <c r="CW24" s="175">
        <f>CU24</f>
        <v>0</v>
      </c>
      <c r="CX24" s="218"/>
      <c r="CY24" s="218"/>
      <c r="CZ24" s="218"/>
      <c r="DA24" s="879"/>
    </row>
    <row r="25" spans="1:105" s="232" customFormat="1" ht="15" thickBot="1">
      <c r="A25" s="876" t="s">
        <v>75</v>
      </c>
      <c r="B25" s="869"/>
      <c r="C25" s="870"/>
      <c r="D25" s="165">
        <f t="shared" si="6"/>
        <v>0</v>
      </c>
      <c r="E25" s="165">
        <f t="shared" si="7"/>
        <v>0</v>
      </c>
      <c r="F25" s="208"/>
      <c r="G25" s="204"/>
      <c r="H25" s="152">
        <f t="shared" si="8"/>
        <v>0</v>
      </c>
      <c r="I25" s="152">
        <f t="shared" si="9"/>
        <v>0</v>
      </c>
      <c r="J25" s="208"/>
      <c r="K25" s="204"/>
      <c r="L25" s="152">
        <f t="shared" si="10"/>
        <v>0</v>
      </c>
      <c r="M25" s="152">
        <f t="shared" si="11"/>
        <v>0</v>
      </c>
      <c r="N25" s="208"/>
      <c r="O25" s="204"/>
      <c r="P25" s="152">
        <f t="shared" si="12"/>
        <v>0</v>
      </c>
      <c r="Q25" s="152">
        <f t="shared" si="13"/>
        <v>0</v>
      </c>
      <c r="R25" s="208"/>
      <c r="S25" s="205"/>
      <c r="T25" s="152">
        <f t="shared" si="14"/>
        <v>0</v>
      </c>
      <c r="U25" s="152">
        <f t="shared" si="15"/>
        <v>0</v>
      </c>
      <c r="V25" s="208"/>
      <c r="W25" s="205"/>
      <c r="X25" s="152">
        <f t="shared" si="16"/>
        <v>0</v>
      </c>
      <c r="Y25" s="152">
        <f t="shared" si="17"/>
        <v>0</v>
      </c>
      <c r="Z25" s="208"/>
      <c r="AA25" s="205"/>
      <c r="AB25" s="152">
        <f t="shared" si="18"/>
        <v>0</v>
      </c>
      <c r="AC25" s="152">
        <f t="shared" si="19"/>
        <v>0</v>
      </c>
      <c r="AD25" s="204"/>
      <c r="AE25" s="205"/>
      <c r="AF25" s="152">
        <f t="shared" si="20"/>
        <v>0</v>
      </c>
      <c r="AG25" s="152">
        <f t="shared" si="21"/>
        <v>0</v>
      </c>
      <c r="AH25" s="208"/>
      <c r="AI25" s="205"/>
      <c r="AJ25" s="152">
        <f t="shared" si="22"/>
        <v>0</v>
      </c>
      <c r="AK25" s="152">
        <f t="shared" si="23"/>
        <v>0</v>
      </c>
      <c r="AL25" s="204"/>
      <c r="AM25" s="205"/>
      <c r="AN25" s="152">
        <f t="shared" si="24"/>
        <v>0</v>
      </c>
      <c r="AO25" s="152">
        <f t="shared" si="25"/>
        <v>0</v>
      </c>
      <c r="AP25" s="204"/>
      <c r="AQ25" s="205"/>
      <c r="AR25" s="152">
        <f t="shared" si="26"/>
        <v>0</v>
      </c>
      <c r="AS25" s="152">
        <f t="shared" si="27"/>
        <v>0</v>
      </c>
      <c r="AT25" s="204"/>
      <c r="AU25" s="205"/>
      <c r="AV25" s="152">
        <f t="shared" si="28"/>
        <v>0</v>
      </c>
      <c r="AW25" s="152">
        <f t="shared" si="29"/>
        <v>0</v>
      </c>
      <c r="AX25" s="871"/>
      <c r="AY25" s="872"/>
      <c r="AZ25" s="171">
        <f t="shared" si="30"/>
        <v>0</v>
      </c>
      <c r="BA25" s="171">
        <f t="shared" si="31"/>
        <v>0</v>
      </c>
      <c r="BB25" s="208"/>
      <c r="BC25" s="205"/>
      <c r="BD25" s="152">
        <f t="shared" si="32"/>
        <v>0</v>
      </c>
      <c r="BE25" s="152">
        <f t="shared" si="33"/>
        <v>0</v>
      </c>
      <c r="BF25" s="204"/>
      <c r="BG25" s="205"/>
      <c r="BH25" s="152">
        <f t="shared" si="34"/>
        <v>0</v>
      </c>
      <c r="BI25" s="152">
        <f t="shared" si="35"/>
        <v>0</v>
      </c>
      <c r="BJ25" s="208"/>
      <c r="BK25" s="205"/>
      <c r="BL25" s="152">
        <f t="shared" si="36"/>
        <v>0</v>
      </c>
      <c r="BM25" s="152">
        <f t="shared" si="37"/>
        <v>0</v>
      </c>
      <c r="BN25" s="208"/>
      <c r="BO25" s="205"/>
      <c r="BP25" s="152">
        <f t="shared" si="38"/>
        <v>0</v>
      </c>
      <c r="BQ25" s="152">
        <f t="shared" si="39"/>
        <v>0</v>
      </c>
      <c r="BR25" s="208">
        <v>4</v>
      </c>
      <c r="BS25" s="205"/>
      <c r="BT25" s="205">
        <v>4</v>
      </c>
      <c r="BU25" s="209"/>
      <c r="BV25" s="873"/>
      <c r="BW25" s="205"/>
      <c r="BX25" s="205"/>
      <c r="BY25" s="209"/>
      <c r="BZ25" s="874"/>
      <c r="CA25" s="875"/>
      <c r="CB25" s="875"/>
      <c r="CC25" s="876"/>
      <c r="CD25" s="877"/>
      <c r="CE25" s="213"/>
      <c r="CF25" s="213"/>
      <c r="CG25" s="214"/>
      <c r="CH25" s="215"/>
      <c r="CI25" s="216"/>
      <c r="CJ25" s="216"/>
      <c r="CK25" s="217"/>
      <c r="CL25" s="208"/>
      <c r="CM25" s="205"/>
      <c r="CN25" s="205"/>
      <c r="CO25" s="209"/>
      <c r="CP25" s="218">
        <f t="shared" si="2"/>
        <v>4</v>
      </c>
      <c r="CQ25" s="219">
        <f t="shared" si="52"/>
        <v>0</v>
      </c>
      <c r="CR25" s="219">
        <v>4</v>
      </c>
      <c r="CS25" s="220">
        <f t="shared" si="52"/>
        <v>0</v>
      </c>
      <c r="CT25" s="215"/>
      <c r="CU25" s="216"/>
      <c r="CV25" s="175">
        <f>CT25</f>
        <v>0</v>
      </c>
      <c r="CW25" s="175">
        <f>CU25</f>
        <v>0</v>
      </c>
      <c r="CX25" s="218">
        <f t="shared" si="4"/>
        <v>4</v>
      </c>
      <c r="CY25" s="218">
        <f t="shared" si="53"/>
        <v>0</v>
      </c>
      <c r="CZ25" s="218">
        <f t="shared" si="53"/>
        <v>4</v>
      </c>
      <c r="DA25" s="879">
        <f t="shared" si="53"/>
        <v>0</v>
      </c>
    </row>
    <row r="26" spans="1:105" s="878" customFormat="1" ht="15" thickBot="1">
      <c r="A26" s="892" t="s">
        <v>54</v>
      </c>
      <c r="B26" s="880">
        <f>SUM(B15:B23)</f>
        <v>793235</v>
      </c>
      <c r="C26" s="880">
        <f>SUM(C15:C23)</f>
        <v>587250</v>
      </c>
      <c r="D26" s="880">
        <f aca="true" t="shared" si="54" ref="D26:P26">SUM(D15:D23)</f>
        <v>793235</v>
      </c>
      <c r="E26" s="882">
        <f t="shared" si="54"/>
        <v>587250</v>
      </c>
      <c r="F26" s="880">
        <f t="shared" si="54"/>
        <v>8551</v>
      </c>
      <c r="G26" s="880">
        <f t="shared" si="54"/>
        <v>6473</v>
      </c>
      <c r="H26" s="880">
        <f t="shared" si="54"/>
        <v>8551</v>
      </c>
      <c r="I26" s="882">
        <f t="shared" si="54"/>
        <v>6473</v>
      </c>
      <c r="J26" s="880">
        <f t="shared" si="54"/>
        <v>35960</v>
      </c>
      <c r="K26" s="880">
        <f t="shared" si="54"/>
        <v>56598</v>
      </c>
      <c r="L26" s="880">
        <f t="shared" si="54"/>
        <v>35960</v>
      </c>
      <c r="M26" s="882">
        <f t="shared" si="54"/>
        <v>56598</v>
      </c>
      <c r="N26" s="880">
        <f t="shared" si="54"/>
        <v>568578</v>
      </c>
      <c r="O26" s="880">
        <f>SUM(O15:O25)</f>
        <v>467501</v>
      </c>
      <c r="P26" s="880">
        <f t="shared" si="54"/>
        <v>568578</v>
      </c>
      <c r="Q26" s="881">
        <f>SUM(Q15:Q25)</f>
        <v>467501</v>
      </c>
      <c r="R26" s="880">
        <f aca="true" t="shared" si="55" ref="R26:CA26">SUM(R15:R25)</f>
        <v>358080</v>
      </c>
      <c r="S26" s="880">
        <f t="shared" si="55"/>
        <v>295397</v>
      </c>
      <c r="T26" s="880">
        <f t="shared" si="55"/>
        <v>358080</v>
      </c>
      <c r="U26" s="881">
        <f t="shared" si="55"/>
        <v>295397</v>
      </c>
      <c r="V26" s="880">
        <f t="shared" si="55"/>
        <v>316372</v>
      </c>
      <c r="W26" s="880">
        <f t="shared" si="55"/>
        <v>227859</v>
      </c>
      <c r="X26" s="880">
        <f t="shared" si="55"/>
        <v>316372</v>
      </c>
      <c r="Y26" s="882">
        <f t="shared" si="55"/>
        <v>227859</v>
      </c>
      <c r="Z26" s="880">
        <f t="shared" si="55"/>
        <v>90936</v>
      </c>
      <c r="AA26" s="880">
        <f t="shared" si="55"/>
        <v>247078</v>
      </c>
      <c r="AB26" s="880">
        <f t="shared" si="55"/>
        <v>90936</v>
      </c>
      <c r="AC26" s="882">
        <f t="shared" si="55"/>
        <v>247078</v>
      </c>
      <c r="AD26" s="883">
        <f t="shared" si="55"/>
        <v>96973</v>
      </c>
      <c r="AE26" s="880">
        <f t="shared" si="55"/>
        <v>63790</v>
      </c>
      <c r="AF26" s="880">
        <f t="shared" si="55"/>
        <v>96973</v>
      </c>
      <c r="AG26" s="881">
        <f t="shared" si="55"/>
        <v>63790</v>
      </c>
      <c r="AH26" s="880">
        <f t="shared" si="55"/>
        <v>317521</v>
      </c>
      <c r="AI26" s="880">
        <f t="shared" si="55"/>
        <v>354509</v>
      </c>
      <c r="AJ26" s="880">
        <f t="shared" si="55"/>
        <v>317521</v>
      </c>
      <c r="AK26" s="882">
        <f t="shared" si="55"/>
        <v>354509</v>
      </c>
      <c r="AL26" s="883">
        <f t="shared" si="55"/>
        <v>71677</v>
      </c>
      <c r="AM26" s="880">
        <f t="shared" si="55"/>
        <v>65491</v>
      </c>
      <c r="AN26" s="880">
        <f t="shared" si="55"/>
        <v>71677</v>
      </c>
      <c r="AO26" s="880">
        <f t="shared" si="55"/>
        <v>65491</v>
      </c>
      <c r="AP26" s="880">
        <f t="shared" si="55"/>
        <v>3222273</v>
      </c>
      <c r="AQ26" s="880">
        <f t="shared" si="55"/>
        <v>1981900</v>
      </c>
      <c r="AR26" s="880">
        <f t="shared" si="55"/>
        <v>3222273</v>
      </c>
      <c r="AS26" s="880">
        <f t="shared" si="55"/>
        <v>1981900</v>
      </c>
      <c r="AT26" s="880">
        <f t="shared" si="55"/>
        <v>2648383</v>
      </c>
      <c r="AU26" s="880">
        <f t="shared" si="55"/>
        <v>2795655</v>
      </c>
      <c r="AV26" s="880">
        <f t="shared" si="55"/>
        <v>2648383</v>
      </c>
      <c r="AW26" s="880">
        <f t="shared" si="55"/>
        <v>2795655</v>
      </c>
      <c r="AX26" s="880">
        <f t="shared" si="55"/>
        <v>137060</v>
      </c>
      <c r="AY26" s="880">
        <f t="shared" si="55"/>
        <v>148250</v>
      </c>
      <c r="AZ26" s="880">
        <f t="shared" si="55"/>
        <v>137060</v>
      </c>
      <c r="BA26" s="881">
        <f t="shared" si="55"/>
        <v>148250</v>
      </c>
      <c r="BB26" s="880">
        <f t="shared" si="55"/>
        <v>223772</v>
      </c>
      <c r="BC26" s="880">
        <f t="shared" si="55"/>
        <v>183844</v>
      </c>
      <c r="BD26" s="880">
        <f t="shared" si="55"/>
        <v>223772</v>
      </c>
      <c r="BE26" s="882">
        <f t="shared" si="55"/>
        <v>183844</v>
      </c>
      <c r="BF26" s="883">
        <f t="shared" si="55"/>
        <v>641989</v>
      </c>
      <c r="BG26" s="880">
        <f t="shared" si="55"/>
        <v>521314</v>
      </c>
      <c r="BH26" s="880">
        <f t="shared" si="55"/>
        <v>641989</v>
      </c>
      <c r="BI26" s="881">
        <f t="shared" si="55"/>
        <v>521314</v>
      </c>
      <c r="BJ26" s="880">
        <f t="shared" si="55"/>
        <v>1583950</v>
      </c>
      <c r="BK26" s="880">
        <f t="shared" si="55"/>
        <v>1450868</v>
      </c>
      <c r="BL26" s="880">
        <f t="shared" si="55"/>
        <v>1583950</v>
      </c>
      <c r="BM26" s="881">
        <f t="shared" si="55"/>
        <v>1450868</v>
      </c>
      <c r="BN26" s="880">
        <f t="shared" si="55"/>
        <v>487029</v>
      </c>
      <c r="BO26" s="880">
        <f t="shared" si="55"/>
        <v>391531</v>
      </c>
      <c r="BP26" s="880">
        <f t="shared" si="55"/>
        <v>487029</v>
      </c>
      <c r="BQ26" s="881">
        <f t="shared" si="55"/>
        <v>391531</v>
      </c>
      <c r="BR26" s="880">
        <f t="shared" si="55"/>
        <v>376511</v>
      </c>
      <c r="BS26" s="880">
        <f t="shared" si="55"/>
        <v>317931</v>
      </c>
      <c r="BT26" s="880">
        <f t="shared" si="55"/>
        <v>376511</v>
      </c>
      <c r="BU26" s="881">
        <f t="shared" si="55"/>
        <v>317931</v>
      </c>
      <c r="BV26" s="880">
        <f t="shared" si="55"/>
        <v>0</v>
      </c>
      <c r="BW26" s="880">
        <f t="shared" si="55"/>
        <v>0</v>
      </c>
      <c r="BX26" s="880">
        <f t="shared" si="55"/>
        <v>0</v>
      </c>
      <c r="BY26" s="881">
        <f t="shared" si="55"/>
        <v>0</v>
      </c>
      <c r="BZ26" s="880">
        <f t="shared" si="55"/>
        <v>2493722</v>
      </c>
      <c r="CA26" s="880">
        <f t="shared" si="55"/>
        <v>1958922</v>
      </c>
      <c r="CB26" s="884">
        <f>SUM(CB15:CB25)</f>
        <v>2493722</v>
      </c>
      <c r="CC26" s="885">
        <f>SUM(CC15:CC25)</f>
        <v>1958922</v>
      </c>
      <c r="CD26" s="886">
        <f>SUM(CD15:CD25)</f>
        <v>166127</v>
      </c>
      <c r="CE26" s="884">
        <f aca="true" t="shared" si="56" ref="CE26:CJ26">SUM(CE15:CE25)</f>
        <v>171410</v>
      </c>
      <c r="CF26" s="884">
        <f t="shared" si="56"/>
        <v>166127</v>
      </c>
      <c r="CG26" s="885">
        <f t="shared" si="56"/>
        <v>171410</v>
      </c>
      <c r="CH26" s="886">
        <f t="shared" si="56"/>
        <v>272117</v>
      </c>
      <c r="CI26" s="884">
        <f t="shared" si="56"/>
        <v>165892</v>
      </c>
      <c r="CJ26" s="884">
        <f t="shared" si="56"/>
        <v>272117</v>
      </c>
      <c r="CK26" s="885">
        <f>SUM(CK15:CK25)</f>
        <v>165892</v>
      </c>
      <c r="CL26" s="886">
        <f>SUM(CL15:CL25)</f>
        <v>1236347</v>
      </c>
      <c r="CM26" s="884">
        <f>SUM(CM15:CM25)</f>
        <v>673785</v>
      </c>
      <c r="CN26" s="884">
        <f>SUM(CN15:CN25)</f>
        <v>1236347</v>
      </c>
      <c r="CO26" s="885">
        <f>SUM(CO15:CO25)</f>
        <v>673785</v>
      </c>
      <c r="CP26" s="886">
        <f t="shared" si="2"/>
        <v>16147163</v>
      </c>
      <c r="CQ26" s="887">
        <f t="shared" si="52"/>
        <v>13133248</v>
      </c>
      <c r="CR26" s="887">
        <f t="shared" si="52"/>
        <v>16147163</v>
      </c>
      <c r="CS26" s="888">
        <f t="shared" si="52"/>
        <v>13133248</v>
      </c>
      <c r="CT26" s="889">
        <f>SUM(CT15:CT25)</f>
        <v>38635272</v>
      </c>
      <c r="CU26" s="890">
        <f>SUM(CU15:CU25)</f>
        <v>37011922</v>
      </c>
      <c r="CV26" s="890">
        <f>SUM(CV15:CV25)</f>
        <v>38635272</v>
      </c>
      <c r="CW26" s="1371">
        <f>SUM(CW15:CW25)</f>
        <v>37011922</v>
      </c>
      <c r="CX26" s="886">
        <f t="shared" si="4"/>
        <v>54782435</v>
      </c>
      <c r="CY26" s="886">
        <f t="shared" si="53"/>
        <v>50145170</v>
      </c>
      <c r="CZ26" s="886">
        <f t="shared" si="53"/>
        <v>54782435</v>
      </c>
      <c r="DA26" s="891">
        <f t="shared" si="53"/>
        <v>50145170</v>
      </c>
    </row>
  </sheetData>
  <sheetProtection/>
  <mergeCells count="29">
    <mergeCell ref="R3:U3"/>
    <mergeCell ref="V3:Y3"/>
    <mergeCell ref="Z3:AC3"/>
    <mergeCell ref="BB3:BE3"/>
    <mergeCell ref="BF3:BI3"/>
    <mergeCell ref="BJ3:BM3"/>
    <mergeCell ref="AP3:AS3"/>
    <mergeCell ref="AT3:AW3"/>
    <mergeCell ref="AX3:BA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A40"/>
  <sheetViews>
    <sheetView zoomScalePageLayoutView="0" workbookViewId="0" topLeftCell="A1">
      <pane xSplit="1" topLeftCell="CS1" activePane="topRight" state="frozen"/>
      <selection pane="topLeft" activeCell="A1" sqref="A1"/>
      <selection pane="topRight" activeCell="A3" sqref="A3:A4"/>
    </sheetView>
  </sheetViews>
  <sheetFormatPr defaultColWidth="9.140625" defaultRowHeight="15"/>
  <cols>
    <col min="1" max="1" width="67.28125" style="184" customWidth="1"/>
    <col min="2" max="2" width="11.140625" style="184" customWidth="1"/>
    <col min="3" max="3" width="11.421875" style="184" bestFit="1" customWidth="1"/>
    <col min="4" max="5" width="12.421875" style="184" bestFit="1" customWidth="1"/>
    <col min="6" max="7" width="11.421875" style="184" bestFit="1" customWidth="1"/>
    <col min="8" max="8" width="12.00390625" style="184" customWidth="1"/>
    <col min="9" max="9" width="12.421875" style="184" bestFit="1" customWidth="1"/>
    <col min="10" max="10" width="11.421875" style="184" bestFit="1" customWidth="1"/>
    <col min="11" max="11" width="13.28125" style="184" customWidth="1"/>
    <col min="12" max="12" width="13.8515625" style="184" customWidth="1"/>
    <col min="13" max="13" width="13.421875" style="184" customWidth="1"/>
    <col min="14" max="15" width="11.8515625" style="184" bestFit="1" customWidth="1"/>
    <col min="16" max="17" width="13.00390625" style="184" bestFit="1" customWidth="1"/>
    <col min="18" max="19" width="11.421875" style="184" bestFit="1" customWidth="1"/>
    <col min="20" max="21" width="12.421875" style="184" bestFit="1" customWidth="1"/>
    <col min="22" max="23" width="11.421875" style="184" bestFit="1" customWidth="1"/>
    <col min="24" max="25" width="12.421875" style="184" bestFit="1" customWidth="1"/>
    <col min="26" max="27" width="11.421875" style="184" bestFit="1" customWidth="1"/>
    <col min="28" max="29" width="13.00390625" style="184" bestFit="1" customWidth="1"/>
    <col min="30" max="31" width="10.8515625" style="184" customWidth="1"/>
    <col min="32" max="32" width="10.00390625" style="184" customWidth="1"/>
    <col min="33" max="33" width="10.7109375" style="184" customWidth="1"/>
    <col min="34" max="34" width="10.57421875" style="184" customWidth="1"/>
    <col min="35" max="35" width="10.28125" style="184" customWidth="1"/>
    <col min="36" max="37" width="13.00390625" style="184" bestFit="1" customWidth="1"/>
    <col min="38" max="39" width="11.421875" style="184" bestFit="1" customWidth="1"/>
    <col min="40" max="41" width="12.421875" style="184" bestFit="1" customWidth="1"/>
    <col min="42" max="42" width="11.421875" style="184" bestFit="1" customWidth="1"/>
    <col min="43" max="43" width="11.57421875" style="184" bestFit="1" customWidth="1"/>
    <col min="44" max="45" width="12.421875" style="184" bestFit="1" customWidth="1"/>
    <col min="46" max="47" width="11.7109375" style="184" customWidth="1"/>
    <col min="48" max="49" width="13.00390625" style="184" bestFit="1" customWidth="1"/>
    <col min="50" max="51" width="11.421875" style="184" bestFit="1" customWidth="1"/>
    <col min="52" max="52" width="12.421875" style="184" customWidth="1"/>
    <col min="53" max="53" width="12.140625" style="184" customWidth="1"/>
    <col min="54" max="55" width="11.8515625" style="184" bestFit="1" customWidth="1"/>
    <col min="56" max="57" width="13.00390625" style="184" bestFit="1" customWidth="1"/>
    <col min="58" max="59" width="11.8515625" style="184" bestFit="1" customWidth="1"/>
    <col min="60" max="61" width="13.00390625" style="184" bestFit="1" customWidth="1"/>
    <col min="62" max="63" width="11.421875" style="184" bestFit="1" customWidth="1"/>
    <col min="64" max="65" width="12.421875" style="184" bestFit="1" customWidth="1"/>
    <col min="66" max="66" width="10.7109375" style="184" customWidth="1"/>
    <col min="67" max="67" width="10.8515625" style="184" customWidth="1"/>
    <col min="68" max="68" width="11.421875" style="184" customWidth="1"/>
    <col min="69" max="69" width="11.00390625" style="184" customWidth="1"/>
    <col min="70" max="71" width="11.8515625" style="184" bestFit="1" customWidth="1"/>
    <col min="72" max="73" width="13.00390625" style="184" bestFit="1" customWidth="1"/>
    <col min="74" max="75" width="11.8515625" style="184" bestFit="1" customWidth="1"/>
    <col min="76" max="77" width="13.00390625" style="184" bestFit="1" customWidth="1"/>
    <col min="78" max="79" width="11.8515625" style="184" bestFit="1" customWidth="1"/>
    <col min="80" max="81" width="13.00390625" style="184" bestFit="1" customWidth="1"/>
    <col min="82" max="82" width="10.7109375" style="184" customWidth="1"/>
    <col min="83" max="83" width="11.8515625" style="184" bestFit="1" customWidth="1"/>
    <col min="84" max="85" width="13.00390625" style="184" bestFit="1" customWidth="1"/>
    <col min="86" max="87" width="11.8515625" style="184" bestFit="1" customWidth="1"/>
    <col min="88" max="89" width="13.00390625" style="184" bestFit="1" customWidth="1"/>
    <col min="90" max="91" width="11.421875" style="184" bestFit="1" customWidth="1"/>
    <col min="92" max="93" width="12.421875" style="184" bestFit="1" customWidth="1"/>
    <col min="94" max="95" width="11.57421875" style="184" bestFit="1" customWidth="1"/>
    <col min="96" max="96" width="12.8515625" style="184" bestFit="1" customWidth="1"/>
    <col min="97" max="97" width="13.00390625" style="184" bestFit="1" customWidth="1"/>
    <col min="98" max="98" width="12.00390625" style="184" customWidth="1"/>
    <col min="99" max="99" width="12.8515625" style="184" bestFit="1" customWidth="1"/>
    <col min="100" max="101" width="13.00390625" style="184" bestFit="1" customWidth="1"/>
    <col min="102" max="103" width="11.57421875" style="184" bestFit="1" customWidth="1"/>
    <col min="104" max="105" width="12.8515625" style="184" bestFit="1" customWidth="1"/>
    <col min="106" max="16384" width="9.140625" style="184" customWidth="1"/>
  </cols>
  <sheetData>
    <row r="1" spans="1:103" ht="18">
      <c r="A1" s="1942" t="s">
        <v>184</v>
      </c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  <c r="X1" s="1942"/>
      <c r="Y1" s="1942"/>
      <c r="Z1" s="1942"/>
      <c r="AA1" s="1942"/>
      <c r="AB1" s="1942"/>
      <c r="AC1" s="1942"/>
      <c r="AD1" s="1942"/>
      <c r="AE1" s="1942"/>
      <c r="AF1" s="1942"/>
      <c r="AG1" s="1942"/>
      <c r="AH1" s="1942"/>
      <c r="AI1" s="1942"/>
      <c r="AJ1" s="1942"/>
      <c r="AK1" s="1942"/>
      <c r="AL1" s="1942"/>
      <c r="AM1" s="1942"/>
      <c r="AN1" s="1942"/>
      <c r="AO1" s="1942"/>
      <c r="AP1" s="1942"/>
      <c r="AQ1" s="1942"/>
      <c r="AR1" s="1942"/>
      <c r="AS1" s="1942"/>
      <c r="AT1" s="1942"/>
      <c r="AU1" s="1942"/>
      <c r="AV1" s="1942"/>
      <c r="AW1" s="1942"/>
      <c r="AX1" s="1942"/>
      <c r="AY1" s="1942"/>
      <c r="AZ1" s="1942"/>
      <c r="BA1" s="1942"/>
      <c r="BB1" s="1942"/>
      <c r="BC1" s="1942"/>
      <c r="BD1" s="1942"/>
      <c r="BE1" s="1942"/>
      <c r="BF1" s="1942"/>
      <c r="BG1" s="1942"/>
      <c r="BH1" s="1942"/>
      <c r="BI1" s="1942"/>
      <c r="BJ1" s="1942"/>
      <c r="BK1" s="1942"/>
      <c r="BL1" s="1942"/>
      <c r="BM1" s="1942"/>
      <c r="BN1" s="1942"/>
      <c r="BO1" s="1942"/>
      <c r="BP1" s="1942"/>
      <c r="BQ1" s="1942"/>
      <c r="BR1" s="1942"/>
      <c r="BS1" s="1942"/>
      <c r="BT1" s="1942"/>
      <c r="BU1" s="1942"/>
      <c r="BV1" s="1942"/>
      <c r="BW1" s="1942"/>
      <c r="BX1" s="1942"/>
      <c r="BY1" s="1942"/>
      <c r="BZ1" s="1942"/>
      <c r="CA1" s="1942"/>
      <c r="CB1" s="1942"/>
      <c r="CC1" s="1942"/>
      <c r="CD1" s="1942"/>
      <c r="CE1" s="1942"/>
      <c r="CF1" s="1942"/>
      <c r="CG1" s="1942"/>
      <c r="CH1" s="1942"/>
      <c r="CI1" s="1942"/>
      <c r="CJ1" s="1942"/>
      <c r="CK1" s="1942"/>
      <c r="CL1" s="1942"/>
      <c r="CM1" s="1942"/>
      <c r="CN1" s="1942"/>
      <c r="CO1" s="1942"/>
      <c r="CP1" s="1942"/>
      <c r="CQ1" s="1942"/>
      <c r="CR1" s="1942"/>
      <c r="CS1" s="1942"/>
      <c r="CT1" s="1942"/>
      <c r="CU1" s="1942"/>
      <c r="CV1" s="1942"/>
      <c r="CW1" s="1942"/>
      <c r="CX1" s="1942"/>
      <c r="CY1" s="1942"/>
    </row>
    <row r="2" spans="1:103" s="893" customFormat="1" ht="18.75" thickBot="1">
      <c r="A2" s="1931" t="s">
        <v>76</v>
      </c>
      <c r="B2" s="1931"/>
      <c r="C2" s="1931"/>
      <c r="D2" s="1931"/>
      <c r="E2" s="1931"/>
      <c r="F2" s="1931"/>
      <c r="G2" s="1931"/>
      <c r="H2" s="1931"/>
      <c r="I2" s="1931"/>
      <c r="J2" s="1931"/>
      <c r="K2" s="1931"/>
      <c r="L2" s="1931"/>
      <c r="M2" s="1931"/>
      <c r="N2" s="1931"/>
      <c r="O2" s="1931"/>
      <c r="P2" s="1931"/>
      <c r="Q2" s="1931"/>
      <c r="R2" s="1931"/>
      <c r="S2" s="1931"/>
      <c r="T2" s="1931"/>
      <c r="U2" s="1931"/>
      <c r="V2" s="1931"/>
      <c r="W2" s="1931"/>
      <c r="X2" s="1931"/>
      <c r="Y2" s="1931"/>
      <c r="Z2" s="1931"/>
      <c r="AA2" s="1931"/>
      <c r="AB2" s="1931"/>
      <c r="AC2" s="1931"/>
      <c r="AD2" s="1931"/>
      <c r="AE2" s="1931"/>
      <c r="AF2" s="1931"/>
      <c r="AG2" s="1931"/>
      <c r="AH2" s="1931"/>
      <c r="AI2" s="1931"/>
      <c r="AJ2" s="1931"/>
      <c r="AK2" s="1931"/>
      <c r="AL2" s="1931"/>
      <c r="AM2" s="1931"/>
      <c r="AN2" s="1931"/>
      <c r="AO2" s="1931"/>
      <c r="AP2" s="1931"/>
      <c r="AQ2" s="1931"/>
      <c r="AR2" s="1931"/>
      <c r="AS2" s="1931"/>
      <c r="AT2" s="1931"/>
      <c r="AU2" s="1931"/>
      <c r="AV2" s="1931"/>
      <c r="AW2" s="1931"/>
      <c r="AX2" s="1931"/>
      <c r="AY2" s="1931"/>
      <c r="AZ2" s="1931"/>
      <c r="BA2" s="1931"/>
      <c r="BB2" s="1931"/>
      <c r="BC2" s="1931"/>
      <c r="BD2" s="1931"/>
      <c r="BE2" s="1931"/>
      <c r="BF2" s="1931"/>
      <c r="BG2" s="1931"/>
      <c r="BH2" s="1931"/>
      <c r="BI2" s="1931"/>
      <c r="BJ2" s="1931"/>
      <c r="BK2" s="1931"/>
      <c r="BL2" s="1931"/>
      <c r="BM2" s="1931"/>
      <c r="BN2" s="1931"/>
      <c r="BO2" s="1931"/>
      <c r="BP2" s="1931"/>
      <c r="BQ2" s="1931"/>
      <c r="BR2" s="1931"/>
      <c r="BS2" s="1931"/>
      <c r="BT2" s="1931"/>
      <c r="BU2" s="1931"/>
      <c r="BV2" s="1931"/>
      <c r="BW2" s="1931"/>
      <c r="BX2" s="1931"/>
      <c r="BY2" s="1931"/>
      <c r="BZ2" s="1931"/>
      <c r="CA2" s="1931"/>
      <c r="CB2" s="1931"/>
      <c r="CC2" s="1931"/>
      <c r="CD2" s="1931"/>
      <c r="CE2" s="1931"/>
      <c r="CF2" s="1931"/>
      <c r="CG2" s="1931"/>
      <c r="CH2" s="1931"/>
      <c r="CI2" s="1931"/>
      <c r="CJ2" s="1931"/>
      <c r="CK2" s="1931"/>
      <c r="CL2" s="1931"/>
      <c r="CM2" s="1931"/>
      <c r="CN2" s="1931"/>
      <c r="CO2" s="1931"/>
      <c r="CP2" s="1931"/>
      <c r="CQ2" s="1931"/>
      <c r="CR2" s="1931"/>
      <c r="CS2" s="1931"/>
      <c r="CT2" s="1931"/>
      <c r="CU2" s="1931"/>
      <c r="CV2" s="1931"/>
      <c r="CW2" s="1931"/>
      <c r="CX2" s="1931"/>
      <c r="CY2" s="1931"/>
    </row>
    <row r="3" spans="1:105" s="1486" customFormat="1" ht="25.5" customHeight="1" thickBot="1">
      <c r="A3" s="1943" t="s">
        <v>0</v>
      </c>
      <c r="B3" s="1945" t="s">
        <v>187</v>
      </c>
      <c r="C3" s="1946"/>
      <c r="D3" s="1946"/>
      <c r="E3" s="1947"/>
      <c r="F3" s="1937" t="s">
        <v>188</v>
      </c>
      <c r="G3" s="1937"/>
      <c r="H3" s="1937"/>
      <c r="I3" s="1938"/>
      <c r="J3" s="1937" t="s">
        <v>189</v>
      </c>
      <c r="K3" s="1937"/>
      <c r="L3" s="1937"/>
      <c r="M3" s="1938"/>
      <c r="N3" s="1937" t="s">
        <v>190</v>
      </c>
      <c r="O3" s="1937"/>
      <c r="P3" s="1937"/>
      <c r="Q3" s="1938"/>
      <c r="R3" s="1937" t="s">
        <v>191</v>
      </c>
      <c r="S3" s="1937"/>
      <c r="T3" s="1937"/>
      <c r="U3" s="1938"/>
      <c r="V3" s="1937" t="s">
        <v>192</v>
      </c>
      <c r="W3" s="1937"/>
      <c r="X3" s="1937"/>
      <c r="Y3" s="1938"/>
      <c r="Z3" s="1937" t="s">
        <v>193</v>
      </c>
      <c r="AA3" s="1937"/>
      <c r="AB3" s="1937"/>
      <c r="AC3" s="1938"/>
      <c r="AD3" s="1937" t="s">
        <v>194</v>
      </c>
      <c r="AE3" s="1937"/>
      <c r="AF3" s="1937"/>
      <c r="AG3" s="1938"/>
      <c r="AH3" s="1937" t="s">
        <v>195</v>
      </c>
      <c r="AI3" s="1937"/>
      <c r="AJ3" s="1937"/>
      <c r="AK3" s="1938"/>
      <c r="AL3" s="1937" t="s">
        <v>196</v>
      </c>
      <c r="AM3" s="1937"/>
      <c r="AN3" s="1937"/>
      <c r="AO3" s="1938"/>
      <c r="AP3" s="1937" t="s">
        <v>197</v>
      </c>
      <c r="AQ3" s="1937"/>
      <c r="AR3" s="1937"/>
      <c r="AS3" s="1938"/>
      <c r="AT3" s="1937" t="s">
        <v>198</v>
      </c>
      <c r="AU3" s="1937"/>
      <c r="AV3" s="1937"/>
      <c r="AW3" s="1938"/>
      <c r="AX3" s="1937" t="s">
        <v>199</v>
      </c>
      <c r="AY3" s="1937"/>
      <c r="AZ3" s="1937"/>
      <c r="BA3" s="1938"/>
      <c r="BB3" s="1937" t="s">
        <v>200</v>
      </c>
      <c r="BC3" s="1937"/>
      <c r="BD3" s="1937"/>
      <c r="BE3" s="1938"/>
      <c r="BF3" s="1937" t="s">
        <v>201</v>
      </c>
      <c r="BG3" s="1937"/>
      <c r="BH3" s="1937"/>
      <c r="BI3" s="1938"/>
      <c r="BJ3" s="1937" t="s">
        <v>202</v>
      </c>
      <c r="BK3" s="1937"/>
      <c r="BL3" s="1937"/>
      <c r="BM3" s="1938"/>
      <c r="BN3" s="1937" t="s">
        <v>203</v>
      </c>
      <c r="BO3" s="1937"/>
      <c r="BP3" s="1937"/>
      <c r="BQ3" s="1938"/>
      <c r="BR3" s="1937" t="s">
        <v>204</v>
      </c>
      <c r="BS3" s="1937"/>
      <c r="BT3" s="1937"/>
      <c r="BU3" s="1938"/>
      <c r="BV3" s="1937" t="s">
        <v>205</v>
      </c>
      <c r="BW3" s="1937"/>
      <c r="BX3" s="1937"/>
      <c r="BY3" s="1938"/>
      <c r="BZ3" s="1937" t="s">
        <v>206</v>
      </c>
      <c r="CA3" s="1937"/>
      <c r="CB3" s="1937"/>
      <c r="CC3" s="1938"/>
      <c r="CD3" s="1937" t="s">
        <v>207</v>
      </c>
      <c r="CE3" s="1937"/>
      <c r="CF3" s="1937"/>
      <c r="CG3" s="1938"/>
      <c r="CH3" s="1939" t="s">
        <v>208</v>
      </c>
      <c r="CI3" s="1940"/>
      <c r="CJ3" s="1940"/>
      <c r="CK3" s="1941"/>
      <c r="CL3" s="1937" t="s">
        <v>209</v>
      </c>
      <c r="CM3" s="1937"/>
      <c r="CN3" s="1937"/>
      <c r="CO3" s="1938"/>
      <c r="CP3" s="1937" t="s">
        <v>1</v>
      </c>
      <c r="CQ3" s="1937"/>
      <c r="CR3" s="1937"/>
      <c r="CS3" s="1938"/>
      <c r="CT3" s="1937" t="s">
        <v>210</v>
      </c>
      <c r="CU3" s="1937"/>
      <c r="CV3" s="1937"/>
      <c r="CW3" s="1938"/>
      <c r="CX3" s="1939" t="s">
        <v>2</v>
      </c>
      <c r="CY3" s="1940"/>
      <c r="CZ3" s="1940"/>
      <c r="DA3" s="1941"/>
    </row>
    <row r="4" spans="1:105" s="894" customFormat="1" ht="15" customHeight="1" thickBot="1">
      <c r="A4" s="1944"/>
      <c r="B4" s="985" t="s">
        <v>440</v>
      </c>
      <c r="C4" s="922" t="s">
        <v>441</v>
      </c>
      <c r="D4" s="922" t="s">
        <v>444</v>
      </c>
      <c r="E4" s="912" t="s">
        <v>445</v>
      </c>
      <c r="F4" s="922" t="s">
        <v>440</v>
      </c>
      <c r="G4" s="922" t="s">
        <v>441</v>
      </c>
      <c r="H4" s="922" t="s">
        <v>444</v>
      </c>
      <c r="I4" s="912" t="s">
        <v>445</v>
      </c>
      <c r="J4" s="922" t="s">
        <v>440</v>
      </c>
      <c r="K4" s="922" t="s">
        <v>441</v>
      </c>
      <c r="L4" s="922" t="s">
        <v>444</v>
      </c>
      <c r="M4" s="912" t="s">
        <v>445</v>
      </c>
      <c r="N4" s="922" t="s">
        <v>440</v>
      </c>
      <c r="O4" s="922" t="s">
        <v>441</v>
      </c>
      <c r="P4" s="922" t="s">
        <v>444</v>
      </c>
      <c r="Q4" s="912" t="s">
        <v>445</v>
      </c>
      <c r="R4" s="922" t="s">
        <v>440</v>
      </c>
      <c r="S4" s="922" t="s">
        <v>441</v>
      </c>
      <c r="T4" s="922" t="s">
        <v>444</v>
      </c>
      <c r="U4" s="912" t="s">
        <v>445</v>
      </c>
      <c r="V4" s="922" t="s">
        <v>440</v>
      </c>
      <c r="W4" s="922" t="s">
        <v>441</v>
      </c>
      <c r="X4" s="922" t="s">
        <v>444</v>
      </c>
      <c r="Y4" s="912" t="s">
        <v>445</v>
      </c>
      <c r="Z4" s="922" t="s">
        <v>440</v>
      </c>
      <c r="AA4" s="922" t="s">
        <v>441</v>
      </c>
      <c r="AB4" s="922" t="s">
        <v>444</v>
      </c>
      <c r="AC4" s="912" t="s">
        <v>445</v>
      </c>
      <c r="AD4" s="922" t="s">
        <v>440</v>
      </c>
      <c r="AE4" s="922" t="s">
        <v>441</v>
      </c>
      <c r="AF4" s="922" t="s">
        <v>444</v>
      </c>
      <c r="AG4" s="912" t="s">
        <v>445</v>
      </c>
      <c r="AH4" s="922" t="s">
        <v>440</v>
      </c>
      <c r="AI4" s="922" t="s">
        <v>441</v>
      </c>
      <c r="AJ4" s="922" t="s">
        <v>444</v>
      </c>
      <c r="AK4" s="912" t="s">
        <v>445</v>
      </c>
      <c r="AL4" s="922" t="s">
        <v>440</v>
      </c>
      <c r="AM4" s="922" t="s">
        <v>441</v>
      </c>
      <c r="AN4" s="922" t="s">
        <v>444</v>
      </c>
      <c r="AO4" s="912" t="s">
        <v>445</v>
      </c>
      <c r="AP4" s="922" t="s">
        <v>440</v>
      </c>
      <c r="AQ4" s="922" t="s">
        <v>441</v>
      </c>
      <c r="AR4" s="922" t="s">
        <v>444</v>
      </c>
      <c r="AS4" s="912" t="s">
        <v>445</v>
      </c>
      <c r="AT4" s="922" t="s">
        <v>440</v>
      </c>
      <c r="AU4" s="922" t="s">
        <v>441</v>
      </c>
      <c r="AV4" s="922" t="s">
        <v>444</v>
      </c>
      <c r="AW4" s="912" t="s">
        <v>445</v>
      </c>
      <c r="AX4" s="922" t="s">
        <v>440</v>
      </c>
      <c r="AY4" s="922" t="s">
        <v>441</v>
      </c>
      <c r="AZ4" s="922" t="s">
        <v>444</v>
      </c>
      <c r="BA4" s="912" t="s">
        <v>445</v>
      </c>
      <c r="BB4" s="922" t="s">
        <v>440</v>
      </c>
      <c r="BC4" s="922" t="s">
        <v>441</v>
      </c>
      <c r="BD4" s="922" t="s">
        <v>444</v>
      </c>
      <c r="BE4" s="912" t="s">
        <v>445</v>
      </c>
      <c r="BF4" s="922" t="s">
        <v>440</v>
      </c>
      <c r="BG4" s="922" t="s">
        <v>441</v>
      </c>
      <c r="BH4" s="922" t="s">
        <v>444</v>
      </c>
      <c r="BI4" s="912" t="s">
        <v>445</v>
      </c>
      <c r="BJ4" s="922" t="s">
        <v>440</v>
      </c>
      <c r="BK4" s="922" t="s">
        <v>441</v>
      </c>
      <c r="BL4" s="922" t="s">
        <v>444</v>
      </c>
      <c r="BM4" s="912" t="s">
        <v>445</v>
      </c>
      <c r="BN4" s="922" t="s">
        <v>440</v>
      </c>
      <c r="BO4" s="922" t="s">
        <v>441</v>
      </c>
      <c r="BP4" s="922" t="s">
        <v>444</v>
      </c>
      <c r="BQ4" s="912" t="s">
        <v>445</v>
      </c>
      <c r="BR4" s="922" t="s">
        <v>440</v>
      </c>
      <c r="BS4" s="922" t="s">
        <v>441</v>
      </c>
      <c r="BT4" s="922" t="s">
        <v>444</v>
      </c>
      <c r="BU4" s="912" t="s">
        <v>445</v>
      </c>
      <c r="BV4" s="922" t="s">
        <v>440</v>
      </c>
      <c r="BW4" s="922" t="s">
        <v>441</v>
      </c>
      <c r="BX4" s="922" t="s">
        <v>444</v>
      </c>
      <c r="BY4" s="912" t="s">
        <v>445</v>
      </c>
      <c r="BZ4" s="922" t="s">
        <v>440</v>
      </c>
      <c r="CA4" s="922" t="s">
        <v>441</v>
      </c>
      <c r="CB4" s="922" t="s">
        <v>444</v>
      </c>
      <c r="CC4" s="912" t="s">
        <v>445</v>
      </c>
      <c r="CD4" s="922" t="s">
        <v>440</v>
      </c>
      <c r="CE4" s="922" t="s">
        <v>441</v>
      </c>
      <c r="CF4" s="922" t="s">
        <v>444</v>
      </c>
      <c r="CG4" s="912" t="s">
        <v>445</v>
      </c>
      <c r="CH4" s="922" t="s">
        <v>440</v>
      </c>
      <c r="CI4" s="922" t="s">
        <v>441</v>
      </c>
      <c r="CJ4" s="922" t="s">
        <v>444</v>
      </c>
      <c r="CK4" s="912" t="s">
        <v>445</v>
      </c>
      <c r="CL4" s="922" t="s">
        <v>440</v>
      </c>
      <c r="CM4" s="922" t="s">
        <v>441</v>
      </c>
      <c r="CN4" s="922" t="s">
        <v>444</v>
      </c>
      <c r="CO4" s="912" t="s">
        <v>445</v>
      </c>
      <c r="CP4" s="922" t="s">
        <v>440</v>
      </c>
      <c r="CQ4" s="922" t="s">
        <v>441</v>
      </c>
      <c r="CR4" s="922" t="s">
        <v>444</v>
      </c>
      <c r="CS4" s="912" t="s">
        <v>445</v>
      </c>
      <c r="CT4" s="922" t="s">
        <v>440</v>
      </c>
      <c r="CU4" s="922" t="s">
        <v>441</v>
      </c>
      <c r="CV4" s="922" t="s">
        <v>444</v>
      </c>
      <c r="CW4" s="912" t="s">
        <v>445</v>
      </c>
      <c r="CX4" s="922" t="s">
        <v>440</v>
      </c>
      <c r="CY4" s="922" t="s">
        <v>441</v>
      </c>
      <c r="CZ4" s="922" t="s">
        <v>444</v>
      </c>
      <c r="DA4" s="912" t="s">
        <v>445</v>
      </c>
    </row>
    <row r="5" spans="1:105" ht="15" customHeight="1">
      <c r="A5" s="1218" t="s">
        <v>77</v>
      </c>
      <c r="B5" s="1195">
        <v>1652504</v>
      </c>
      <c r="C5" s="1196">
        <v>1379576</v>
      </c>
      <c r="D5" s="1196">
        <f>B5</f>
        <v>1652504</v>
      </c>
      <c r="E5" s="1197">
        <f>C5</f>
        <v>1379576</v>
      </c>
      <c r="F5" s="1198">
        <v>253519</v>
      </c>
      <c r="G5" s="1196">
        <v>216404</v>
      </c>
      <c r="H5" s="1196">
        <f>F5</f>
        <v>253519</v>
      </c>
      <c r="I5" s="1197">
        <f>G5</f>
        <v>216404</v>
      </c>
      <c r="J5" s="257">
        <v>414760</v>
      </c>
      <c r="K5" s="1196">
        <v>523039</v>
      </c>
      <c r="L5" s="1196">
        <f>J5</f>
        <v>414760</v>
      </c>
      <c r="M5" s="1197">
        <f>K5</f>
        <v>523039</v>
      </c>
      <c r="N5" s="1198">
        <v>2741641</v>
      </c>
      <c r="O5" s="1196">
        <v>2113434</v>
      </c>
      <c r="P5" s="1196">
        <f>N5</f>
        <v>2741641</v>
      </c>
      <c r="Q5" s="1197">
        <f>O5</f>
        <v>2113434</v>
      </c>
      <c r="R5" s="1198">
        <v>694894</v>
      </c>
      <c r="S5" s="1196">
        <v>646244</v>
      </c>
      <c r="T5" s="1196">
        <f>R5</f>
        <v>694894</v>
      </c>
      <c r="U5" s="1197">
        <f>S5</f>
        <v>646244</v>
      </c>
      <c r="V5" s="1198">
        <v>637456</v>
      </c>
      <c r="W5" s="1196">
        <v>521674</v>
      </c>
      <c r="X5" s="1196">
        <f>V5</f>
        <v>637456</v>
      </c>
      <c r="Y5" s="1197">
        <f>W5</f>
        <v>521674</v>
      </c>
      <c r="Z5" s="1198">
        <v>517404</v>
      </c>
      <c r="AA5" s="1196">
        <v>879769</v>
      </c>
      <c r="AB5" s="1196">
        <f>Z5</f>
        <v>517404</v>
      </c>
      <c r="AC5" s="1197">
        <f>AA5</f>
        <v>879769</v>
      </c>
      <c r="AD5" s="1198">
        <v>729486</v>
      </c>
      <c r="AE5" s="1196">
        <v>613262</v>
      </c>
      <c r="AF5" s="1196">
        <f>AD5</f>
        <v>729486</v>
      </c>
      <c r="AG5" s="1197">
        <f>AE5</f>
        <v>613262</v>
      </c>
      <c r="AH5" s="1198">
        <v>787099</v>
      </c>
      <c r="AI5" s="1196">
        <v>750545</v>
      </c>
      <c r="AJ5" s="1196">
        <f>AH5</f>
        <v>787099</v>
      </c>
      <c r="AK5" s="1197">
        <f>AI5</f>
        <v>750545</v>
      </c>
      <c r="AL5" s="1198">
        <v>853274</v>
      </c>
      <c r="AM5" s="1196">
        <v>593204</v>
      </c>
      <c r="AN5" s="1196">
        <f>AL5</f>
        <v>853274</v>
      </c>
      <c r="AO5" s="1197">
        <f>AM5</f>
        <v>593204</v>
      </c>
      <c r="AP5" s="1198">
        <v>3939802</v>
      </c>
      <c r="AQ5" s="1196">
        <v>3249373</v>
      </c>
      <c r="AR5" s="1196">
        <f>AP5</f>
        <v>3939802</v>
      </c>
      <c r="AS5" s="1197">
        <f>AQ5</f>
        <v>3249373</v>
      </c>
      <c r="AT5" s="1198">
        <v>2594040</v>
      </c>
      <c r="AU5" s="1196">
        <v>2615297</v>
      </c>
      <c r="AV5" s="1196">
        <f>AT5</f>
        <v>2594040</v>
      </c>
      <c r="AW5" s="1197">
        <f>AU5</f>
        <v>2615297</v>
      </c>
      <c r="AX5" s="1198">
        <v>293092</v>
      </c>
      <c r="AY5" s="1196">
        <v>303975</v>
      </c>
      <c r="AZ5" s="1196">
        <f>AX5</f>
        <v>293092</v>
      </c>
      <c r="BA5" s="1197">
        <f>AY5</f>
        <v>303975</v>
      </c>
      <c r="BB5" s="1198">
        <v>468296</v>
      </c>
      <c r="BC5" s="1196">
        <v>389491</v>
      </c>
      <c r="BD5" s="1196">
        <f>BB5</f>
        <v>468296</v>
      </c>
      <c r="BE5" s="1197">
        <f>BC5</f>
        <v>389491</v>
      </c>
      <c r="BF5" s="1198">
        <v>1888184</v>
      </c>
      <c r="BG5" s="1196">
        <v>1565864</v>
      </c>
      <c r="BH5" s="1196">
        <f>BF5</f>
        <v>1888184</v>
      </c>
      <c r="BI5" s="1197">
        <f>BG5</f>
        <v>1565864</v>
      </c>
      <c r="BJ5" s="1198">
        <v>2355259</v>
      </c>
      <c r="BK5" s="1196">
        <v>1947806</v>
      </c>
      <c r="BL5" s="1196">
        <f>BJ5</f>
        <v>2355259</v>
      </c>
      <c r="BM5" s="1197">
        <f>BK5</f>
        <v>1947806</v>
      </c>
      <c r="BN5" s="1198">
        <v>1428321</v>
      </c>
      <c r="BO5" s="1196">
        <v>1350143</v>
      </c>
      <c r="BP5" s="1196">
        <f>BN5</f>
        <v>1428321</v>
      </c>
      <c r="BQ5" s="1196">
        <f>BO5</f>
        <v>1350143</v>
      </c>
      <c r="BR5" s="1198">
        <v>1795842</v>
      </c>
      <c r="BS5" s="1196">
        <v>1548563</v>
      </c>
      <c r="BT5" s="1196">
        <f>BR5</f>
        <v>1795842</v>
      </c>
      <c r="BU5" s="1197">
        <f>BS5</f>
        <v>1548563</v>
      </c>
      <c r="BV5" s="1198"/>
      <c r="BW5" s="1196"/>
      <c r="BX5" s="1196"/>
      <c r="BY5" s="1197"/>
      <c r="BZ5" s="1200">
        <v>2946039</v>
      </c>
      <c r="CA5" s="1201">
        <v>2926459</v>
      </c>
      <c r="CB5" s="1201">
        <f>BZ5</f>
        <v>2946039</v>
      </c>
      <c r="CC5" s="1202">
        <f>CA5</f>
        <v>2926459</v>
      </c>
      <c r="CD5" s="1198">
        <v>664287</v>
      </c>
      <c r="CE5" s="1196">
        <v>450861</v>
      </c>
      <c r="CF5" s="1196">
        <f>CD5</f>
        <v>664287</v>
      </c>
      <c r="CG5" s="1197">
        <f>CE5</f>
        <v>450861</v>
      </c>
      <c r="CH5" s="1198">
        <v>558842</v>
      </c>
      <c r="CI5" s="1196">
        <v>447437</v>
      </c>
      <c r="CJ5" s="1196">
        <f>CH5</f>
        <v>558842</v>
      </c>
      <c r="CK5" s="1197">
        <f>CI5</f>
        <v>447437</v>
      </c>
      <c r="CL5" s="1198">
        <v>1321866</v>
      </c>
      <c r="CM5" s="1196">
        <v>1263650</v>
      </c>
      <c r="CN5" s="1196">
        <f>CL5</f>
        <v>1321866</v>
      </c>
      <c r="CO5" s="1197">
        <f>CM5</f>
        <v>1263650</v>
      </c>
      <c r="CP5" s="1198">
        <f>SUM(B5+F5+J5+N5+R5+V5+Z5+AD5+AH5+AL5+AP5+AT5+AX5+BB5+BF5+BJ5+BN5+BR5+BV5+BZ5+CD5+CH5+CL5)</f>
        <v>29535907</v>
      </c>
      <c r="CQ5" s="1195">
        <f aca="true" t="shared" si="0" ref="CQ5:CS20">SUM(C5+G5+K5+O5+S5+W5+AA5+AE5+AI5+AM5+AQ5+AU5+AY5+BC5+BG5+BK5+BO5+BS5+BW5+CA5+CE5+CI5+CM5)</f>
        <v>26296070</v>
      </c>
      <c r="CR5" s="1195">
        <f t="shared" si="0"/>
        <v>29535907</v>
      </c>
      <c r="CS5" s="1199">
        <f t="shared" si="0"/>
        <v>26296070</v>
      </c>
      <c r="CT5" s="1198">
        <v>50181493</v>
      </c>
      <c r="CU5" s="1196">
        <v>49104188</v>
      </c>
      <c r="CV5" s="1196">
        <f>CT5</f>
        <v>50181493</v>
      </c>
      <c r="CW5" s="1197">
        <f>CU5</f>
        <v>49104188</v>
      </c>
      <c r="CX5" s="1198">
        <f>CP5+CT5</f>
        <v>79717400</v>
      </c>
      <c r="CY5" s="1195">
        <f aca="true" t="shared" si="1" ref="CY5:DA20">CQ5+CU5</f>
        <v>75400258</v>
      </c>
      <c r="CZ5" s="1195">
        <f t="shared" si="1"/>
        <v>79717400</v>
      </c>
      <c r="DA5" s="1199">
        <f t="shared" si="1"/>
        <v>75400258</v>
      </c>
    </row>
    <row r="6" spans="1:105" ht="16.5">
      <c r="A6" s="253" t="s">
        <v>78</v>
      </c>
      <c r="B6" s="254">
        <v>62450</v>
      </c>
      <c r="C6" s="255">
        <v>49131</v>
      </c>
      <c r="D6" s="1196">
        <f aca="true" t="shared" si="2" ref="D6:D37">B6</f>
        <v>62450</v>
      </c>
      <c r="E6" s="1197">
        <f aca="true" t="shared" si="3" ref="E6:E37">C6</f>
        <v>49131</v>
      </c>
      <c r="F6" s="257">
        <v>13034</v>
      </c>
      <c r="G6" s="258">
        <v>10773</v>
      </c>
      <c r="H6" s="1196">
        <f aca="true" t="shared" si="4" ref="H6:H37">F6</f>
        <v>13034</v>
      </c>
      <c r="I6" s="1197">
        <f aca="true" t="shared" si="5" ref="I6:I37">G6</f>
        <v>10773</v>
      </c>
      <c r="J6" s="257">
        <v>6871</v>
      </c>
      <c r="K6" s="258">
        <v>11249</v>
      </c>
      <c r="L6" s="1196">
        <f aca="true" t="shared" si="6" ref="L6:L37">J6</f>
        <v>6871</v>
      </c>
      <c r="M6" s="1197">
        <f aca="true" t="shared" si="7" ref="M6:M37">K6</f>
        <v>11249</v>
      </c>
      <c r="N6" s="257">
        <v>73805</v>
      </c>
      <c r="O6" s="258">
        <v>71209</v>
      </c>
      <c r="P6" s="1196">
        <f aca="true" t="shared" si="8" ref="P6:P37">N6</f>
        <v>73805</v>
      </c>
      <c r="Q6" s="1197">
        <f aca="true" t="shared" si="9" ref="Q6:Q37">O6</f>
        <v>71209</v>
      </c>
      <c r="R6" s="257">
        <v>22623</v>
      </c>
      <c r="S6" s="258">
        <v>21960</v>
      </c>
      <c r="T6" s="1196">
        <f aca="true" t="shared" si="10" ref="T6:T37">R6</f>
        <v>22623</v>
      </c>
      <c r="U6" s="1197">
        <f aca="true" t="shared" si="11" ref="U6:U37">S6</f>
        <v>21960</v>
      </c>
      <c r="V6" s="257">
        <v>37143</v>
      </c>
      <c r="W6" s="258">
        <v>27998</v>
      </c>
      <c r="X6" s="1196">
        <f aca="true" t="shared" si="12" ref="X6:X37">V6</f>
        <v>37143</v>
      </c>
      <c r="Y6" s="1197">
        <f aca="true" t="shared" si="13" ref="Y6:Y37">W6</f>
        <v>27998</v>
      </c>
      <c r="Z6" s="257">
        <v>11796</v>
      </c>
      <c r="AA6" s="258">
        <v>19045</v>
      </c>
      <c r="AB6" s="1196">
        <f aca="true" t="shared" si="14" ref="AB6:AB37">Z6</f>
        <v>11796</v>
      </c>
      <c r="AC6" s="1197">
        <f aca="true" t="shared" si="15" ref="AC6:AC37">AA6</f>
        <v>19045</v>
      </c>
      <c r="AD6" s="257">
        <v>35545</v>
      </c>
      <c r="AE6" s="258">
        <v>46004</v>
      </c>
      <c r="AF6" s="1196">
        <f aca="true" t="shared" si="16" ref="AF6:AF37">AD6</f>
        <v>35545</v>
      </c>
      <c r="AG6" s="1197">
        <f aca="true" t="shared" si="17" ref="AG6:AG37">AE6</f>
        <v>46004</v>
      </c>
      <c r="AH6" s="257">
        <v>39358</v>
      </c>
      <c r="AI6" s="258">
        <v>34439</v>
      </c>
      <c r="AJ6" s="1196">
        <f aca="true" t="shared" si="18" ref="AJ6:AJ37">AH6</f>
        <v>39358</v>
      </c>
      <c r="AK6" s="1197">
        <f aca="true" t="shared" si="19" ref="AK6:AK37">AI6</f>
        <v>34439</v>
      </c>
      <c r="AL6" s="257">
        <v>18672</v>
      </c>
      <c r="AM6" s="258">
        <v>18828</v>
      </c>
      <c r="AN6" s="1196">
        <f aca="true" t="shared" si="20" ref="AN6:AN37">AL6</f>
        <v>18672</v>
      </c>
      <c r="AO6" s="1197">
        <f aca="true" t="shared" si="21" ref="AO6:AO37">AM6</f>
        <v>18828</v>
      </c>
      <c r="AP6" s="257">
        <v>70750</v>
      </c>
      <c r="AQ6" s="258">
        <v>57567</v>
      </c>
      <c r="AR6" s="1196">
        <f aca="true" t="shared" si="22" ref="AR6:AR37">AP6</f>
        <v>70750</v>
      </c>
      <c r="AS6" s="1197">
        <f aca="true" t="shared" si="23" ref="AS6:AS37">AQ6</f>
        <v>57567</v>
      </c>
      <c r="AT6" s="257">
        <v>160650</v>
      </c>
      <c r="AU6" s="258">
        <v>169872</v>
      </c>
      <c r="AV6" s="1196">
        <f aca="true" t="shared" si="24" ref="AV6:AV37">AT6</f>
        <v>160650</v>
      </c>
      <c r="AW6" s="1197">
        <f aca="true" t="shared" si="25" ref="AW6:AW37">AU6</f>
        <v>169872</v>
      </c>
      <c r="AX6" s="1032">
        <v>12885</v>
      </c>
      <c r="AY6" s="260">
        <v>12698</v>
      </c>
      <c r="AZ6" s="1196">
        <f aca="true" t="shared" si="26" ref="AZ6:AZ37">AX6</f>
        <v>12885</v>
      </c>
      <c r="BA6" s="1197">
        <f aca="true" t="shared" si="27" ref="BA6:BA37">AY6</f>
        <v>12698</v>
      </c>
      <c r="BB6" s="257">
        <v>29988</v>
      </c>
      <c r="BC6" s="258">
        <v>25173</v>
      </c>
      <c r="BD6" s="1196">
        <f aca="true" t="shared" si="28" ref="BD6:BD37">BB6</f>
        <v>29988</v>
      </c>
      <c r="BE6" s="1197">
        <f aca="true" t="shared" si="29" ref="BE6:BE37">BC6</f>
        <v>25173</v>
      </c>
      <c r="BF6" s="257">
        <v>50152</v>
      </c>
      <c r="BG6" s="258">
        <v>53769</v>
      </c>
      <c r="BH6" s="1196">
        <f aca="true" t="shared" si="30" ref="BH6:BH37">BF6</f>
        <v>50152</v>
      </c>
      <c r="BI6" s="1197">
        <f aca="true" t="shared" si="31" ref="BI6:BI37">BG6</f>
        <v>53769</v>
      </c>
      <c r="BJ6" s="257">
        <v>122433</v>
      </c>
      <c r="BK6" s="258">
        <v>131134</v>
      </c>
      <c r="BL6" s="1196">
        <f aca="true" t="shared" si="32" ref="BL6:BL37">BJ6</f>
        <v>122433</v>
      </c>
      <c r="BM6" s="1197">
        <f aca="true" t="shared" si="33" ref="BM6:BM37">BK6</f>
        <v>131134</v>
      </c>
      <c r="BN6" s="257">
        <v>25897</v>
      </c>
      <c r="BO6" s="258">
        <v>29730</v>
      </c>
      <c r="BP6" s="1196">
        <f aca="true" t="shared" si="34" ref="BP6:BP37">BN6</f>
        <v>25897</v>
      </c>
      <c r="BQ6" s="1196">
        <f aca="true" t="shared" si="35" ref="BQ6:BQ37">BO6</f>
        <v>29730</v>
      </c>
      <c r="BR6" s="257">
        <v>54911</v>
      </c>
      <c r="BS6" s="258">
        <v>50814</v>
      </c>
      <c r="BT6" s="1196">
        <f aca="true" t="shared" si="36" ref="BT6:BT37">BR6</f>
        <v>54911</v>
      </c>
      <c r="BU6" s="1197">
        <f aca="true" t="shared" si="37" ref="BU6:BU37">BS6</f>
        <v>50814</v>
      </c>
      <c r="BV6" s="261"/>
      <c r="BW6" s="258"/>
      <c r="BX6" s="258"/>
      <c r="BY6" s="259"/>
      <c r="BZ6" s="1203">
        <v>167002</v>
      </c>
      <c r="CA6" s="1204">
        <v>121868</v>
      </c>
      <c r="CB6" s="1201">
        <f aca="true" t="shared" si="38" ref="CB6:CB37">BZ6</f>
        <v>167002</v>
      </c>
      <c r="CC6" s="1202">
        <f aca="true" t="shared" si="39" ref="CC6:CC37">CA6</f>
        <v>121868</v>
      </c>
      <c r="CD6" s="635">
        <v>55364</v>
      </c>
      <c r="CE6" s="263">
        <v>33490</v>
      </c>
      <c r="CF6" s="1196">
        <f aca="true" t="shared" si="40" ref="CF6:CF37">CD6</f>
        <v>55364</v>
      </c>
      <c r="CG6" s="1197">
        <f aca="true" t="shared" si="41" ref="CG6:CG37">CE6</f>
        <v>33490</v>
      </c>
      <c r="CH6" s="1034">
        <v>16902</v>
      </c>
      <c r="CI6" s="266">
        <v>12991</v>
      </c>
      <c r="CJ6" s="1196">
        <f aca="true" t="shared" si="42" ref="CJ6:CJ37">CH6</f>
        <v>16902</v>
      </c>
      <c r="CK6" s="1197">
        <f aca="true" t="shared" si="43" ref="CK6:CK37">CI6</f>
        <v>12991</v>
      </c>
      <c r="CL6" s="257">
        <v>123110</v>
      </c>
      <c r="CM6" s="258">
        <v>62336</v>
      </c>
      <c r="CN6" s="1196">
        <f aca="true" t="shared" si="44" ref="CN6:CN37">CL6</f>
        <v>123110</v>
      </c>
      <c r="CO6" s="1197">
        <f aca="true" t="shared" si="45" ref="CO6:CO37">CM6</f>
        <v>62336</v>
      </c>
      <c r="CP6" s="1635">
        <f aca="true" t="shared" si="46" ref="CP6:CS39">SUM(B6+F6+J6+N6+R6+V6+Z6+AD6+AH6+AL6+AP6+AT6+AX6+BB6+BF6+BJ6+BN6+BR6+BV6+BZ6+CD6+CH6+CL6)</f>
        <v>1211341</v>
      </c>
      <c r="CQ6" s="269">
        <f t="shared" si="0"/>
        <v>1072078</v>
      </c>
      <c r="CR6" s="269">
        <f t="shared" si="0"/>
        <v>1211341</v>
      </c>
      <c r="CS6" s="1488">
        <f t="shared" si="0"/>
        <v>1072078</v>
      </c>
      <c r="CT6" s="1034">
        <v>747676</v>
      </c>
      <c r="CU6" s="266">
        <v>619865</v>
      </c>
      <c r="CV6" s="1196">
        <f aca="true" t="shared" si="47" ref="CV6:CV37">CT6</f>
        <v>747676</v>
      </c>
      <c r="CW6" s="1197">
        <f aca="true" t="shared" si="48" ref="CW6:CW37">CU6</f>
        <v>619865</v>
      </c>
      <c r="CX6" s="1635">
        <f aca="true" t="shared" si="49" ref="CX6:DA38">CP6+CT6</f>
        <v>1959017</v>
      </c>
      <c r="CY6" s="269">
        <f t="shared" si="1"/>
        <v>1691943</v>
      </c>
      <c r="CZ6" s="269">
        <f t="shared" si="1"/>
        <v>1959017</v>
      </c>
      <c r="DA6" s="1488">
        <f t="shared" si="1"/>
        <v>1691943</v>
      </c>
    </row>
    <row r="7" spans="1:105" ht="16.5">
      <c r="A7" s="253" t="s">
        <v>79</v>
      </c>
      <c r="B7" s="254">
        <v>27250</v>
      </c>
      <c r="C7" s="255">
        <v>31362</v>
      </c>
      <c r="D7" s="1196">
        <f t="shared" si="2"/>
        <v>27250</v>
      </c>
      <c r="E7" s="1197">
        <f t="shared" si="3"/>
        <v>31362</v>
      </c>
      <c r="F7" s="257">
        <v>828</v>
      </c>
      <c r="G7" s="258">
        <v>1</v>
      </c>
      <c r="H7" s="1196">
        <f t="shared" si="4"/>
        <v>828</v>
      </c>
      <c r="I7" s="1197">
        <f t="shared" si="5"/>
        <v>1</v>
      </c>
      <c r="J7" s="257">
        <v>2387</v>
      </c>
      <c r="K7" s="258">
        <v>4224</v>
      </c>
      <c r="L7" s="1196">
        <f t="shared" si="6"/>
        <v>2387</v>
      </c>
      <c r="M7" s="1197">
        <f t="shared" si="7"/>
        <v>4224</v>
      </c>
      <c r="N7" s="257">
        <v>62971</v>
      </c>
      <c r="O7" s="258">
        <v>52236</v>
      </c>
      <c r="P7" s="1196">
        <f t="shared" si="8"/>
        <v>62971</v>
      </c>
      <c r="Q7" s="1197">
        <f t="shared" si="9"/>
        <v>52236</v>
      </c>
      <c r="R7" s="257">
        <v>937</v>
      </c>
      <c r="S7" s="258">
        <v>88</v>
      </c>
      <c r="T7" s="1196">
        <f t="shared" si="10"/>
        <v>937</v>
      </c>
      <c r="U7" s="1197">
        <f t="shared" si="11"/>
        <v>88</v>
      </c>
      <c r="V7" s="257">
        <v>75054</v>
      </c>
      <c r="W7" s="258">
        <v>117277</v>
      </c>
      <c r="X7" s="1196">
        <f t="shared" si="12"/>
        <v>75054</v>
      </c>
      <c r="Y7" s="1197">
        <f t="shared" si="13"/>
        <v>117277</v>
      </c>
      <c r="Z7" s="257">
        <v>2351</v>
      </c>
      <c r="AA7" s="258">
        <v>4613</v>
      </c>
      <c r="AB7" s="1196">
        <f t="shared" si="14"/>
        <v>2351</v>
      </c>
      <c r="AC7" s="1197">
        <f t="shared" si="15"/>
        <v>4613</v>
      </c>
      <c r="AD7" s="257">
        <v>19567</v>
      </c>
      <c r="AE7" s="258">
        <v>7412</v>
      </c>
      <c r="AF7" s="1196">
        <f t="shared" si="16"/>
        <v>19567</v>
      </c>
      <c r="AG7" s="1197">
        <f t="shared" si="17"/>
        <v>7412</v>
      </c>
      <c r="AH7" s="257">
        <v>114314</v>
      </c>
      <c r="AI7" s="258">
        <v>156597</v>
      </c>
      <c r="AJ7" s="1196">
        <f t="shared" si="18"/>
        <v>114314</v>
      </c>
      <c r="AK7" s="1197">
        <f t="shared" si="19"/>
        <v>156597</v>
      </c>
      <c r="AL7" s="257">
        <v>17759</v>
      </c>
      <c r="AM7" s="258">
        <v>26442</v>
      </c>
      <c r="AN7" s="1196">
        <f t="shared" si="20"/>
        <v>17759</v>
      </c>
      <c r="AO7" s="1197">
        <f t="shared" si="21"/>
        <v>26442</v>
      </c>
      <c r="AP7" s="257">
        <v>207252</v>
      </c>
      <c r="AQ7" s="258">
        <v>95521</v>
      </c>
      <c r="AR7" s="1196">
        <f t="shared" si="22"/>
        <v>207252</v>
      </c>
      <c r="AS7" s="1197">
        <f t="shared" si="23"/>
        <v>95521</v>
      </c>
      <c r="AT7" s="257">
        <v>126430</v>
      </c>
      <c r="AU7" s="258">
        <v>76082</v>
      </c>
      <c r="AV7" s="1196">
        <f t="shared" si="24"/>
        <v>126430</v>
      </c>
      <c r="AW7" s="1197">
        <f t="shared" si="25"/>
        <v>76082</v>
      </c>
      <c r="AX7" s="1032">
        <v>967</v>
      </c>
      <c r="AY7" s="260">
        <v>1828</v>
      </c>
      <c r="AZ7" s="1196">
        <f t="shared" si="26"/>
        <v>967</v>
      </c>
      <c r="BA7" s="1197">
        <f t="shared" si="27"/>
        <v>1828</v>
      </c>
      <c r="BB7" s="257">
        <v>35480</v>
      </c>
      <c r="BC7" s="258">
        <v>14923</v>
      </c>
      <c r="BD7" s="1196">
        <f t="shared" si="28"/>
        <v>35480</v>
      </c>
      <c r="BE7" s="1197">
        <f t="shared" si="29"/>
        <v>14923</v>
      </c>
      <c r="BF7" s="257"/>
      <c r="BG7" s="258"/>
      <c r="BH7" s="1196">
        <f t="shared" si="30"/>
        <v>0</v>
      </c>
      <c r="BI7" s="1197">
        <f t="shared" si="31"/>
        <v>0</v>
      </c>
      <c r="BJ7" s="257">
        <v>253914</v>
      </c>
      <c r="BK7" s="258">
        <v>406100</v>
      </c>
      <c r="BL7" s="1196">
        <f t="shared" si="32"/>
        <v>253914</v>
      </c>
      <c r="BM7" s="1197">
        <f t="shared" si="33"/>
        <v>406100</v>
      </c>
      <c r="BN7" s="257">
        <v>8915</v>
      </c>
      <c r="BO7" s="258">
        <v>8193</v>
      </c>
      <c r="BP7" s="1196">
        <f t="shared" si="34"/>
        <v>8915</v>
      </c>
      <c r="BQ7" s="1196">
        <f t="shared" si="35"/>
        <v>8193</v>
      </c>
      <c r="BR7" s="257">
        <v>41239</v>
      </c>
      <c r="BS7" s="258">
        <v>14982</v>
      </c>
      <c r="BT7" s="1196">
        <f t="shared" si="36"/>
        <v>41239</v>
      </c>
      <c r="BU7" s="1197">
        <f t="shared" si="37"/>
        <v>14982</v>
      </c>
      <c r="BV7" s="261"/>
      <c r="BW7" s="258"/>
      <c r="BX7" s="258"/>
      <c r="BY7" s="259"/>
      <c r="BZ7" s="1203">
        <v>54354</v>
      </c>
      <c r="CA7" s="1204">
        <v>28408</v>
      </c>
      <c r="CB7" s="1201">
        <f t="shared" si="38"/>
        <v>54354</v>
      </c>
      <c r="CC7" s="1202">
        <f t="shared" si="39"/>
        <v>28408</v>
      </c>
      <c r="CD7" s="635">
        <v>19914</v>
      </c>
      <c r="CE7" s="263">
        <v>69504</v>
      </c>
      <c r="CF7" s="1196">
        <f t="shared" si="40"/>
        <v>19914</v>
      </c>
      <c r="CG7" s="1197">
        <f t="shared" si="41"/>
        <v>69504</v>
      </c>
      <c r="CH7" s="1034">
        <v>64933</v>
      </c>
      <c r="CI7" s="266">
        <v>30562</v>
      </c>
      <c r="CJ7" s="1196">
        <f t="shared" si="42"/>
        <v>64933</v>
      </c>
      <c r="CK7" s="1197">
        <f t="shared" si="43"/>
        <v>30562</v>
      </c>
      <c r="CL7" s="257">
        <v>134357</v>
      </c>
      <c r="CM7" s="258">
        <v>107044</v>
      </c>
      <c r="CN7" s="1196">
        <f t="shared" si="44"/>
        <v>134357</v>
      </c>
      <c r="CO7" s="1197">
        <f t="shared" si="45"/>
        <v>107044</v>
      </c>
      <c r="CP7" s="1635">
        <f t="shared" si="46"/>
        <v>1271173</v>
      </c>
      <c r="CQ7" s="269">
        <f t="shared" si="0"/>
        <v>1253399</v>
      </c>
      <c r="CR7" s="269">
        <f t="shared" si="0"/>
        <v>1271173</v>
      </c>
      <c r="CS7" s="1488">
        <f t="shared" si="0"/>
        <v>1253399</v>
      </c>
      <c r="CT7" s="1034">
        <v>21687</v>
      </c>
      <c r="CU7" s="266">
        <v>15943</v>
      </c>
      <c r="CV7" s="1196">
        <f t="shared" si="47"/>
        <v>21687</v>
      </c>
      <c r="CW7" s="1197">
        <f t="shared" si="48"/>
        <v>15943</v>
      </c>
      <c r="CX7" s="1635">
        <f t="shared" si="49"/>
        <v>1292860</v>
      </c>
      <c r="CY7" s="269">
        <f t="shared" si="1"/>
        <v>1269342</v>
      </c>
      <c r="CZ7" s="269">
        <f t="shared" si="1"/>
        <v>1292860</v>
      </c>
      <c r="DA7" s="1488">
        <f t="shared" si="1"/>
        <v>1269342</v>
      </c>
    </row>
    <row r="8" spans="1:105" ht="16.5">
      <c r="A8" s="253" t="s">
        <v>80</v>
      </c>
      <c r="B8" s="254">
        <v>137132</v>
      </c>
      <c r="C8" s="255">
        <v>136185</v>
      </c>
      <c r="D8" s="1196">
        <f t="shared" si="2"/>
        <v>137132</v>
      </c>
      <c r="E8" s="1197">
        <f t="shared" si="3"/>
        <v>136185</v>
      </c>
      <c r="F8" s="257">
        <v>23866</v>
      </c>
      <c r="G8" s="258">
        <v>21364</v>
      </c>
      <c r="H8" s="1196">
        <f t="shared" si="4"/>
        <v>23866</v>
      </c>
      <c r="I8" s="1197">
        <f t="shared" si="5"/>
        <v>21364</v>
      </c>
      <c r="J8" s="257">
        <v>81601</v>
      </c>
      <c r="K8" s="258">
        <v>94879</v>
      </c>
      <c r="L8" s="1196">
        <f t="shared" si="6"/>
        <v>81601</v>
      </c>
      <c r="M8" s="1197">
        <f t="shared" si="7"/>
        <v>94879</v>
      </c>
      <c r="N8" s="257">
        <f>45888+74972+21945</f>
        <v>142805</v>
      </c>
      <c r="O8" s="258">
        <f>47074+52170</f>
        <v>99244</v>
      </c>
      <c r="P8" s="1196">
        <f t="shared" si="8"/>
        <v>142805</v>
      </c>
      <c r="Q8" s="1197">
        <f t="shared" si="9"/>
        <v>99244</v>
      </c>
      <c r="R8" s="257">
        <v>46159</v>
      </c>
      <c r="S8" s="258">
        <v>54498</v>
      </c>
      <c r="T8" s="1196">
        <f t="shared" si="10"/>
        <v>46159</v>
      </c>
      <c r="U8" s="1197">
        <f t="shared" si="11"/>
        <v>54498</v>
      </c>
      <c r="V8" s="257">
        <v>48214</v>
      </c>
      <c r="W8" s="258">
        <v>60952</v>
      </c>
      <c r="X8" s="1196">
        <f t="shared" si="12"/>
        <v>48214</v>
      </c>
      <c r="Y8" s="1197">
        <f t="shared" si="13"/>
        <v>60952</v>
      </c>
      <c r="Z8" s="257">
        <v>46711</v>
      </c>
      <c r="AA8" s="258">
        <v>41908</v>
      </c>
      <c r="AB8" s="1196">
        <f t="shared" si="14"/>
        <v>46711</v>
      </c>
      <c r="AC8" s="1197">
        <f t="shared" si="15"/>
        <v>41908</v>
      </c>
      <c r="AD8" s="257">
        <v>49934</v>
      </c>
      <c r="AE8" s="258">
        <v>51115</v>
      </c>
      <c r="AF8" s="1196">
        <f t="shared" si="16"/>
        <v>49934</v>
      </c>
      <c r="AG8" s="1197">
        <f t="shared" si="17"/>
        <v>51115</v>
      </c>
      <c r="AH8" s="257">
        <v>96230</v>
      </c>
      <c r="AI8" s="258">
        <v>79004</v>
      </c>
      <c r="AJ8" s="1196">
        <f t="shared" si="18"/>
        <v>96230</v>
      </c>
      <c r="AK8" s="1197">
        <f t="shared" si="19"/>
        <v>79004</v>
      </c>
      <c r="AL8" s="257">
        <v>68599</v>
      </c>
      <c r="AM8" s="258">
        <v>57360</v>
      </c>
      <c r="AN8" s="1196">
        <f t="shared" si="20"/>
        <v>68599</v>
      </c>
      <c r="AO8" s="1197">
        <f t="shared" si="21"/>
        <v>57360</v>
      </c>
      <c r="AP8" s="257">
        <v>206840</v>
      </c>
      <c r="AQ8" s="258">
        <v>197807</v>
      </c>
      <c r="AR8" s="1196">
        <f t="shared" si="22"/>
        <v>206840</v>
      </c>
      <c r="AS8" s="1197">
        <f t="shared" si="23"/>
        <v>197807</v>
      </c>
      <c r="AT8" s="257">
        <v>365017</v>
      </c>
      <c r="AU8" s="258">
        <v>293744</v>
      </c>
      <c r="AV8" s="1196">
        <f t="shared" si="24"/>
        <v>365017</v>
      </c>
      <c r="AW8" s="1197">
        <f t="shared" si="25"/>
        <v>293744</v>
      </c>
      <c r="AX8" s="1032">
        <v>19375</v>
      </c>
      <c r="AY8" s="260">
        <v>15887</v>
      </c>
      <c r="AZ8" s="1196">
        <f t="shared" si="26"/>
        <v>19375</v>
      </c>
      <c r="BA8" s="1197">
        <f t="shared" si="27"/>
        <v>15887</v>
      </c>
      <c r="BB8" s="257">
        <v>26238</v>
      </c>
      <c r="BC8" s="258">
        <v>20008</v>
      </c>
      <c r="BD8" s="1196">
        <f t="shared" si="28"/>
        <v>26238</v>
      </c>
      <c r="BE8" s="1197">
        <f t="shared" si="29"/>
        <v>20008</v>
      </c>
      <c r="BF8" s="257">
        <v>131732</v>
      </c>
      <c r="BG8" s="258">
        <v>115089</v>
      </c>
      <c r="BH8" s="1196">
        <f t="shared" si="30"/>
        <v>131732</v>
      </c>
      <c r="BI8" s="1197">
        <f t="shared" si="31"/>
        <v>115089</v>
      </c>
      <c r="BJ8" s="257">
        <v>204992</v>
      </c>
      <c r="BK8" s="258">
        <v>174495</v>
      </c>
      <c r="BL8" s="1196">
        <f t="shared" si="32"/>
        <v>204992</v>
      </c>
      <c r="BM8" s="1197">
        <f t="shared" si="33"/>
        <v>174495</v>
      </c>
      <c r="BN8" s="257">
        <v>141602</v>
      </c>
      <c r="BO8" s="258">
        <v>87594</v>
      </c>
      <c r="BP8" s="1196">
        <f t="shared" si="34"/>
        <v>141602</v>
      </c>
      <c r="BQ8" s="1196">
        <f t="shared" si="35"/>
        <v>87594</v>
      </c>
      <c r="BR8" s="257">
        <f>116870+67687</f>
        <v>184557</v>
      </c>
      <c r="BS8" s="258">
        <f>126661+78193</f>
        <v>204854</v>
      </c>
      <c r="BT8" s="1196">
        <f t="shared" si="36"/>
        <v>184557</v>
      </c>
      <c r="BU8" s="1197">
        <f t="shared" si="37"/>
        <v>204854</v>
      </c>
      <c r="BV8" s="261"/>
      <c r="BW8" s="258"/>
      <c r="BX8" s="258"/>
      <c r="BY8" s="259"/>
      <c r="BZ8" s="1203">
        <v>181356</v>
      </c>
      <c r="CA8" s="1204">
        <v>159466</v>
      </c>
      <c r="CB8" s="1201">
        <f t="shared" si="38"/>
        <v>181356</v>
      </c>
      <c r="CC8" s="1202">
        <f t="shared" si="39"/>
        <v>159466</v>
      </c>
      <c r="CD8" s="635">
        <v>50216</v>
      </c>
      <c r="CE8" s="263">
        <v>73231</v>
      </c>
      <c r="CF8" s="1196">
        <f t="shared" si="40"/>
        <v>50216</v>
      </c>
      <c r="CG8" s="1197">
        <f t="shared" si="41"/>
        <v>73231</v>
      </c>
      <c r="CH8" s="1034">
        <v>37226</v>
      </c>
      <c r="CI8" s="266">
        <v>34363</v>
      </c>
      <c r="CJ8" s="1196">
        <f t="shared" si="42"/>
        <v>37226</v>
      </c>
      <c r="CK8" s="1197">
        <f t="shared" si="43"/>
        <v>34363</v>
      </c>
      <c r="CL8" s="257">
        <v>77713</v>
      </c>
      <c r="CM8" s="258">
        <v>60688</v>
      </c>
      <c r="CN8" s="1196">
        <f t="shared" si="44"/>
        <v>77713</v>
      </c>
      <c r="CO8" s="1197">
        <f t="shared" si="45"/>
        <v>60688</v>
      </c>
      <c r="CP8" s="1635">
        <f t="shared" si="46"/>
        <v>2368115</v>
      </c>
      <c r="CQ8" s="269">
        <f t="shared" si="0"/>
        <v>2133735</v>
      </c>
      <c r="CR8" s="269">
        <f t="shared" si="0"/>
        <v>2368115</v>
      </c>
      <c r="CS8" s="1488">
        <f t="shared" si="0"/>
        <v>2133735</v>
      </c>
      <c r="CT8" s="1034">
        <v>1223478</v>
      </c>
      <c r="CU8" s="266">
        <v>1173034</v>
      </c>
      <c r="CV8" s="1196">
        <f t="shared" si="47"/>
        <v>1223478</v>
      </c>
      <c r="CW8" s="1197">
        <f t="shared" si="48"/>
        <v>1173034</v>
      </c>
      <c r="CX8" s="1635">
        <f t="shared" si="49"/>
        <v>3591593</v>
      </c>
      <c r="CY8" s="269">
        <f t="shared" si="1"/>
        <v>3306769</v>
      </c>
      <c r="CZ8" s="269">
        <f t="shared" si="1"/>
        <v>3591593</v>
      </c>
      <c r="DA8" s="1488">
        <f t="shared" si="1"/>
        <v>3306769</v>
      </c>
    </row>
    <row r="9" spans="1:105" ht="16.5">
      <c r="A9" s="253" t="s">
        <v>81</v>
      </c>
      <c r="B9" s="254">
        <v>68121</v>
      </c>
      <c r="C9" s="255">
        <v>68341</v>
      </c>
      <c r="D9" s="1196">
        <f t="shared" si="2"/>
        <v>68121</v>
      </c>
      <c r="E9" s="1197">
        <f t="shared" si="3"/>
        <v>68341</v>
      </c>
      <c r="F9" s="257">
        <v>1059</v>
      </c>
      <c r="G9" s="258">
        <v>1756</v>
      </c>
      <c r="H9" s="1196">
        <f t="shared" si="4"/>
        <v>1059</v>
      </c>
      <c r="I9" s="1197">
        <f t="shared" si="5"/>
        <v>1756</v>
      </c>
      <c r="J9" s="257">
        <v>31291</v>
      </c>
      <c r="K9" s="258">
        <v>24769</v>
      </c>
      <c r="L9" s="1196">
        <f t="shared" si="6"/>
        <v>31291</v>
      </c>
      <c r="M9" s="1197">
        <f t="shared" si="7"/>
        <v>24769</v>
      </c>
      <c r="N9" s="257">
        <v>18193</v>
      </c>
      <c r="O9" s="258">
        <v>27643</v>
      </c>
      <c r="P9" s="1196">
        <f t="shared" si="8"/>
        <v>18193</v>
      </c>
      <c r="Q9" s="1197">
        <f t="shared" si="9"/>
        <v>27643</v>
      </c>
      <c r="R9" s="257">
        <v>8934</v>
      </c>
      <c r="S9" s="258">
        <v>4563</v>
      </c>
      <c r="T9" s="1196">
        <f t="shared" si="10"/>
        <v>8934</v>
      </c>
      <c r="U9" s="1197">
        <f t="shared" si="11"/>
        <v>4563</v>
      </c>
      <c r="V9" s="257">
        <v>7680</v>
      </c>
      <c r="W9" s="258">
        <v>12455</v>
      </c>
      <c r="X9" s="1196">
        <f t="shared" si="12"/>
        <v>7680</v>
      </c>
      <c r="Y9" s="1197">
        <f t="shared" si="13"/>
        <v>12455</v>
      </c>
      <c r="Z9" s="257">
        <v>22730</v>
      </c>
      <c r="AA9" s="258">
        <v>15669</v>
      </c>
      <c r="AB9" s="1196">
        <f t="shared" si="14"/>
        <v>22730</v>
      </c>
      <c r="AC9" s="1197">
        <f t="shared" si="15"/>
        <v>15669</v>
      </c>
      <c r="AD9" s="257">
        <v>35431</v>
      </c>
      <c r="AE9" s="258">
        <v>25476</v>
      </c>
      <c r="AF9" s="1196">
        <f t="shared" si="16"/>
        <v>35431</v>
      </c>
      <c r="AG9" s="1197">
        <f t="shared" si="17"/>
        <v>25476</v>
      </c>
      <c r="AH9" s="257">
        <v>9086</v>
      </c>
      <c r="AI9" s="258">
        <v>10339</v>
      </c>
      <c r="AJ9" s="1196">
        <f t="shared" si="18"/>
        <v>9086</v>
      </c>
      <c r="AK9" s="1197">
        <f t="shared" si="19"/>
        <v>10339</v>
      </c>
      <c r="AL9" s="257">
        <v>30549</v>
      </c>
      <c r="AM9" s="258">
        <v>24245</v>
      </c>
      <c r="AN9" s="1196">
        <f t="shared" si="20"/>
        <v>30549</v>
      </c>
      <c r="AO9" s="1197">
        <f t="shared" si="21"/>
        <v>24245</v>
      </c>
      <c r="AP9" s="257">
        <v>13035</v>
      </c>
      <c r="AQ9" s="258">
        <v>18091</v>
      </c>
      <c r="AR9" s="1196">
        <f t="shared" si="22"/>
        <v>13035</v>
      </c>
      <c r="AS9" s="1197">
        <f t="shared" si="23"/>
        <v>18091</v>
      </c>
      <c r="AT9" s="257">
        <v>74720</v>
      </c>
      <c r="AU9" s="258">
        <v>77841</v>
      </c>
      <c r="AV9" s="1196">
        <f t="shared" si="24"/>
        <v>74720</v>
      </c>
      <c r="AW9" s="1197">
        <f t="shared" si="25"/>
        <v>77841</v>
      </c>
      <c r="AX9" s="1032">
        <f>8006+285</f>
        <v>8291</v>
      </c>
      <c r="AY9" s="260">
        <f>7739+349</f>
        <v>8088</v>
      </c>
      <c r="AZ9" s="1196">
        <f t="shared" si="26"/>
        <v>8291</v>
      </c>
      <c r="BA9" s="1197">
        <f t="shared" si="27"/>
        <v>8088</v>
      </c>
      <c r="BB9" s="257">
        <v>6579</v>
      </c>
      <c r="BC9" s="258">
        <v>6296</v>
      </c>
      <c r="BD9" s="1196">
        <f t="shared" si="28"/>
        <v>6579</v>
      </c>
      <c r="BE9" s="1197">
        <f t="shared" si="29"/>
        <v>6296</v>
      </c>
      <c r="BF9" s="257">
        <v>54638</v>
      </c>
      <c r="BG9" s="258">
        <v>50327</v>
      </c>
      <c r="BH9" s="1196">
        <f t="shared" si="30"/>
        <v>54638</v>
      </c>
      <c r="BI9" s="1197">
        <f t="shared" si="31"/>
        <v>50327</v>
      </c>
      <c r="BJ9" s="257">
        <v>100873</v>
      </c>
      <c r="BK9" s="258">
        <v>70389</v>
      </c>
      <c r="BL9" s="1196">
        <f t="shared" si="32"/>
        <v>100873</v>
      </c>
      <c r="BM9" s="1197">
        <f t="shared" si="33"/>
        <v>70389</v>
      </c>
      <c r="BN9" s="257">
        <v>5774</v>
      </c>
      <c r="BO9" s="258">
        <v>11175</v>
      </c>
      <c r="BP9" s="1196">
        <f t="shared" si="34"/>
        <v>5774</v>
      </c>
      <c r="BQ9" s="1196">
        <f t="shared" si="35"/>
        <v>11175</v>
      </c>
      <c r="BR9" s="257">
        <v>2405</v>
      </c>
      <c r="BS9" s="258">
        <v>8966</v>
      </c>
      <c r="BT9" s="1196">
        <f t="shared" si="36"/>
        <v>2405</v>
      </c>
      <c r="BU9" s="1197">
        <f t="shared" si="37"/>
        <v>8966</v>
      </c>
      <c r="BV9" s="261"/>
      <c r="BW9" s="258"/>
      <c r="BX9" s="258"/>
      <c r="BY9" s="259"/>
      <c r="BZ9" s="1203">
        <v>117466</v>
      </c>
      <c r="CA9" s="1204">
        <v>139132</v>
      </c>
      <c r="CB9" s="1201">
        <f t="shared" si="38"/>
        <v>117466</v>
      </c>
      <c r="CC9" s="1202">
        <f t="shared" si="39"/>
        <v>139132</v>
      </c>
      <c r="CD9" s="635">
        <v>367</v>
      </c>
      <c r="CE9" s="263">
        <v>469</v>
      </c>
      <c r="CF9" s="1196">
        <f t="shared" si="40"/>
        <v>367</v>
      </c>
      <c r="CG9" s="1197">
        <f t="shared" si="41"/>
        <v>469</v>
      </c>
      <c r="CH9" s="1034">
        <v>34103</v>
      </c>
      <c r="CI9" s="266">
        <v>32373</v>
      </c>
      <c r="CJ9" s="1196">
        <f t="shared" si="42"/>
        <v>34103</v>
      </c>
      <c r="CK9" s="1197">
        <f t="shared" si="43"/>
        <v>32373</v>
      </c>
      <c r="CL9" s="257">
        <v>54404</v>
      </c>
      <c r="CM9" s="258">
        <v>45488</v>
      </c>
      <c r="CN9" s="1196">
        <f t="shared" si="44"/>
        <v>54404</v>
      </c>
      <c r="CO9" s="1197">
        <f t="shared" si="45"/>
        <v>45488</v>
      </c>
      <c r="CP9" s="1635">
        <f t="shared" si="46"/>
        <v>705729</v>
      </c>
      <c r="CQ9" s="269">
        <f t="shared" si="0"/>
        <v>683891</v>
      </c>
      <c r="CR9" s="269">
        <f t="shared" si="0"/>
        <v>705729</v>
      </c>
      <c r="CS9" s="1488">
        <f t="shared" si="0"/>
        <v>683891</v>
      </c>
      <c r="CT9" s="1034">
        <v>124044</v>
      </c>
      <c r="CU9" s="266">
        <v>136611</v>
      </c>
      <c r="CV9" s="1196">
        <f t="shared" si="47"/>
        <v>124044</v>
      </c>
      <c r="CW9" s="1197">
        <f t="shared" si="48"/>
        <v>136611</v>
      </c>
      <c r="CX9" s="1635">
        <f t="shared" si="49"/>
        <v>829773</v>
      </c>
      <c r="CY9" s="269">
        <f t="shared" si="1"/>
        <v>820502</v>
      </c>
      <c r="CZ9" s="269">
        <f t="shared" si="1"/>
        <v>829773</v>
      </c>
      <c r="DA9" s="1488">
        <f t="shared" si="1"/>
        <v>820502</v>
      </c>
    </row>
    <row r="10" spans="1:105" ht="16.5">
      <c r="A10" s="253" t="s">
        <v>82</v>
      </c>
      <c r="B10" s="254">
        <v>8631</v>
      </c>
      <c r="C10" s="255">
        <v>12052</v>
      </c>
      <c r="D10" s="1196">
        <f t="shared" si="2"/>
        <v>8631</v>
      </c>
      <c r="E10" s="1197">
        <f t="shared" si="3"/>
        <v>12052</v>
      </c>
      <c r="F10" s="257">
        <v>2348</v>
      </c>
      <c r="G10" s="258">
        <v>2789</v>
      </c>
      <c r="H10" s="1196">
        <f t="shared" si="4"/>
        <v>2348</v>
      </c>
      <c r="I10" s="1197">
        <f t="shared" si="5"/>
        <v>2789</v>
      </c>
      <c r="J10" s="257">
        <v>8816</v>
      </c>
      <c r="K10" s="258">
        <v>4930</v>
      </c>
      <c r="L10" s="1196">
        <f t="shared" si="6"/>
        <v>8816</v>
      </c>
      <c r="M10" s="1197">
        <f t="shared" si="7"/>
        <v>4930</v>
      </c>
      <c r="N10" s="257">
        <v>175224</v>
      </c>
      <c r="O10" s="258">
        <v>12830</v>
      </c>
      <c r="P10" s="1196">
        <f t="shared" si="8"/>
        <v>175224</v>
      </c>
      <c r="Q10" s="1197">
        <f t="shared" si="9"/>
        <v>12830</v>
      </c>
      <c r="R10" s="257">
        <v>11904</v>
      </c>
      <c r="S10" s="258">
        <v>9837</v>
      </c>
      <c r="T10" s="1196">
        <f t="shared" si="10"/>
        <v>11904</v>
      </c>
      <c r="U10" s="1197">
        <f t="shared" si="11"/>
        <v>9837</v>
      </c>
      <c r="V10" s="257">
        <v>4893</v>
      </c>
      <c r="W10" s="258">
        <v>6675</v>
      </c>
      <c r="X10" s="1196">
        <f t="shared" si="12"/>
        <v>4893</v>
      </c>
      <c r="Y10" s="1197">
        <f t="shared" si="13"/>
        <v>6675</v>
      </c>
      <c r="Z10" s="257">
        <v>970</v>
      </c>
      <c r="AA10" s="258">
        <v>2128</v>
      </c>
      <c r="AB10" s="1196">
        <f t="shared" si="14"/>
        <v>970</v>
      </c>
      <c r="AC10" s="1197">
        <f t="shared" si="15"/>
        <v>2128</v>
      </c>
      <c r="AD10" s="257">
        <v>4992</v>
      </c>
      <c r="AE10" s="258">
        <v>5105</v>
      </c>
      <c r="AF10" s="1196">
        <f t="shared" si="16"/>
        <v>4992</v>
      </c>
      <c r="AG10" s="1197">
        <f t="shared" si="17"/>
        <v>5105</v>
      </c>
      <c r="AH10" s="257">
        <v>8678</v>
      </c>
      <c r="AI10" s="258">
        <v>15412</v>
      </c>
      <c r="AJ10" s="1196">
        <f t="shared" si="18"/>
        <v>8678</v>
      </c>
      <c r="AK10" s="1197">
        <f t="shared" si="19"/>
        <v>15412</v>
      </c>
      <c r="AL10" s="257">
        <v>5286</v>
      </c>
      <c r="AM10" s="258">
        <v>4721</v>
      </c>
      <c r="AN10" s="1196">
        <f t="shared" si="20"/>
        <v>5286</v>
      </c>
      <c r="AO10" s="1197">
        <f t="shared" si="21"/>
        <v>4721</v>
      </c>
      <c r="AP10" s="257">
        <v>28405</v>
      </c>
      <c r="AQ10" s="258">
        <v>26127</v>
      </c>
      <c r="AR10" s="1196">
        <f t="shared" si="22"/>
        <v>28405</v>
      </c>
      <c r="AS10" s="1197">
        <f t="shared" si="23"/>
        <v>26127</v>
      </c>
      <c r="AT10" s="257">
        <v>24718</v>
      </c>
      <c r="AU10" s="258">
        <v>29342</v>
      </c>
      <c r="AV10" s="1196">
        <f t="shared" si="24"/>
        <v>24718</v>
      </c>
      <c r="AW10" s="1197">
        <f t="shared" si="25"/>
        <v>29342</v>
      </c>
      <c r="AX10" s="257">
        <v>4520</v>
      </c>
      <c r="AY10" s="260">
        <v>5703</v>
      </c>
      <c r="AZ10" s="1196">
        <f t="shared" si="26"/>
        <v>4520</v>
      </c>
      <c r="BA10" s="1197">
        <f t="shared" si="27"/>
        <v>5703</v>
      </c>
      <c r="BB10" s="257">
        <v>4141</v>
      </c>
      <c r="BC10" s="258">
        <v>3536</v>
      </c>
      <c r="BD10" s="1196">
        <f t="shared" si="28"/>
        <v>4141</v>
      </c>
      <c r="BE10" s="1197">
        <f t="shared" si="29"/>
        <v>3536</v>
      </c>
      <c r="BF10" s="257">
        <v>25498</v>
      </c>
      <c r="BG10" s="258">
        <v>27277</v>
      </c>
      <c r="BH10" s="1196">
        <f t="shared" si="30"/>
        <v>25498</v>
      </c>
      <c r="BI10" s="1197">
        <f t="shared" si="31"/>
        <v>27277</v>
      </c>
      <c r="BJ10" s="257">
        <v>24092</v>
      </c>
      <c r="BK10" s="258">
        <v>5391</v>
      </c>
      <c r="BL10" s="1196">
        <f t="shared" si="32"/>
        <v>24092</v>
      </c>
      <c r="BM10" s="1197">
        <f t="shared" si="33"/>
        <v>5391</v>
      </c>
      <c r="BN10" s="257">
        <v>12371</v>
      </c>
      <c r="BO10" s="258">
        <v>9365</v>
      </c>
      <c r="BP10" s="1196">
        <f t="shared" si="34"/>
        <v>12371</v>
      </c>
      <c r="BQ10" s="1196">
        <f t="shared" si="35"/>
        <v>9365</v>
      </c>
      <c r="BR10" s="257">
        <v>18468</v>
      </c>
      <c r="BS10" s="258">
        <v>14875</v>
      </c>
      <c r="BT10" s="1196">
        <f t="shared" si="36"/>
        <v>18468</v>
      </c>
      <c r="BU10" s="1197">
        <f t="shared" si="37"/>
        <v>14875</v>
      </c>
      <c r="BV10" s="261"/>
      <c r="BW10" s="258"/>
      <c r="BX10" s="258"/>
      <c r="BY10" s="259"/>
      <c r="BZ10" s="1203">
        <v>27079</v>
      </c>
      <c r="CA10" s="1204">
        <v>48261</v>
      </c>
      <c r="CB10" s="1201">
        <f t="shared" si="38"/>
        <v>27079</v>
      </c>
      <c r="CC10" s="1202">
        <f t="shared" si="39"/>
        <v>48261</v>
      </c>
      <c r="CD10" s="635">
        <v>10783</v>
      </c>
      <c r="CE10" s="263">
        <v>31197</v>
      </c>
      <c r="CF10" s="1196">
        <f t="shared" si="40"/>
        <v>10783</v>
      </c>
      <c r="CG10" s="1197">
        <f t="shared" si="41"/>
        <v>31197</v>
      </c>
      <c r="CH10" s="1034">
        <v>3575</v>
      </c>
      <c r="CI10" s="266">
        <v>3485</v>
      </c>
      <c r="CJ10" s="1196">
        <f t="shared" si="42"/>
        <v>3575</v>
      </c>
      <c r="CK10" s="1197">
        <f t="shared" si="43"/>
        <v>3485</v>
      </c>
      <c r="CL10" s="257">
        <v>11070</v>
      </c>
      <c r="CM10" s="258">
        <v>9660</v>
      </c>
      <c r="CN10" s="1196">
        <f t="shared" si="44"/>
        <v>11070</v>
      </c>
      <c r="CO10" s="1197">
        <f t="shared" si="45"/>
        <v>9660</v>
      </c>
      <c r="CP10" s="1636">
        <f t="shared" si="46"/>
        <v>426462</v>
      </c>
      <c r="CQ10" s="254">
        <f t="shared" si="0"/>
        <v>290698</v>
      </c>
      <c r="CR10" s="254">
        <f t="shared" si="0"/>
        <v>426462</v>
      </c>
      <c r="CS10" s="1175">
        <f t="shared" si="0"/>
        <v>290698</v>
      </c>
      <c r="CT10" s="257">
        <v>937878</v>
      </c>
      <c r="CU10" s="258">
        <v>873009</v>
      </c>
      <c r="CV10" s="1196">
        <f t="shared" si="47"/>
        <v>937878</v>
      </c>
      <c r="CW10" s="1197">
        <f t="shared" si="48"/>
        <v>873009</v>
      </c>
      <c r="CX10" s="1636">
        <f t="shared" si="49"/>
        <v>1364340</v>
      </c>
      <c r="CY10" s="254">
        <f t="shared" si="1"/>
        <v>1163707</v>
      </c>
      <c r="CZ10" s="254">
        <f t="shared" si="1"/>
        <v>1364340</v>
      </c>
      <c r="DA10" s="1175">
        <f t="shared" si="1"/>
        <v>1163707</v>
      </c>
    </row>
    <row r="11" spans="1:105" ht="16.5">
      <c r="A11" s="253" t="s">
        <v>83</v>
      </c>
      <c r="B11" s="254">
        <v>21853</v>
      </c>
      <c r="C11" s="255">
        <v>15018</v>
      </c>
      <c r="D11" s="1196">
        <f t="shared" si="2"/>
        <v>21853</v>
      </c>
      <c r="E11" s="1197">
        <f t="shared" si="3"/>
        <v>15018</v>
      </c>
      <c r="F11" s="257">
        <v>5131</v>
      </c>
      <c r="G11" s="258">
        <v>6069</v>
      </c>
      <c r="H11" s="1196">
        <f t="shared" si="4"/>
        <v>5131</v>
      </c>
      <c r="I11" s="1197">
        <f t="shared" si="5"/>
        <v>6069</v>
      </c>
      <c r="J11" s="257">
        <v>13249</v>
      </c>
      <c r="K11" s="258">
        <v>12942</v>
      </c>
      <c r="L11" s="1196">
        <f t="shared" si="6"/>
        <v>13249</v>
      </c>
      <c r="M11" s="1197">
        <f t="shared" si="7"/>
        <v>12942</v>
      </c>
      <c r="N11" s="257">
        <v>189769</v>
      </c>
      <c r="O11" s="258">
        <v>189553</v>
      </c>
      <c r="P11" s="1196">
        <f t="shared" si="8"/>
        <v>189769</v>
      </c>
      <c r="Q11" s="1197">
        <f t="shared" si="9"/>
        <v>189553</v>
      </c>
      <c r="R11" s="257">
        <v>4953</v>
      </c>
      <c r="S11" s="258">
        <v>7393</v>
      </c>
      <c r="T11" s="1196">
        <f t="shared" si="10"/>
        <v>4953</v>
      </c>
      <c r="U11" s="1197">
        <f t="shared" si="11"/>
        <v>7393</v>
      </c>
      <c r="V11" s="257">
        <v>43165</v>
      </c>
      <c r="W11" s="258">
        <v>35816</v>
      </c>
      <c r="X11" s="1196">
        <f t="shared" si="12"/>
        <v>43165</v>
      </c>
      <c r="Y11" s="1197">
        <f t="shared" si="13"/>
        <v>35816</v>
      </c>
      <c r="Z11" s="257">
        <v>10047</v>
      </c>
      <c r="AA11" s="258">
        <v>13175</v>
      </c>
      <c r="AB11" s="1196">
        <f t="shared" si="14"/>
        <v>10047</v>
      </c>
      <c r="AC11" s="1197">
        <f t="shared" si="15"/>
        <v>13175</v>
      </c>
      <c r="AD11" s="257">
        <v>17167</v>
      </c>
      <c r="AE11" s="258">
        <v>17667</v>
      </c>
      <c r="AF11" s="1196">
        <f t="shared" si="16"/>
        <v>17167</v>
      </c>
      <c r="AG11" s="1197">
        <f t="shared" si="17"/>
        <v>17667</v>
      </c>
      <c r="AH11" s="257">
        <v>7549</v>
      </c>
      <c r="AI11" s="258">
        <v>-4581</v>
      </c>
      <c r="AJ11" s="1196">
        <f t="shared" si="18"/>
        <v>7549</v>
      </c>
      <c r="AK11" s="1197">
        <f t="shared" si="19"/>
        <v>-4581</v>
      </c>
      <c r="AL11" s="257">
        <v>18211</v>
      </c>
      <c r="AM11" s="258">
        <v>15104</v>
      </c>
      <c r="AN11" s="1196">
        <f t="shared" si="20"/>
        <v>18211</v>
      </c>
      <c r="AO11" s="1197">
        <f t="shared" si="21"/>
        <v>15104</v>
      </c>
      <c r="AP11" s="257">
        <v>56425</v>
      </c>
      <c r="AQ11" s="258">
        <v>64918</v>
      </c>
      <c r="AR11" s="1196">
        <f t="shared" si="22"/>
        <v>56425</v>
      </c>
      <c r="AS11" s="1197">
        <f t="shared" si="23"/>
        <v>64918</v>
      </c>
      <c r="AT11" s="257">
        <v>314488</v>
      </c>
      <c r="AU11" s="258">
        <v>256230</v>
      </c>
      <c r="AV11" s="1196">
        <f t="shared" si="24"/>
        <v>314488</v>
      </c>
      <c r="AW11" s="1197">
        <f t="shared" si="25"/>
        <v>256230</v>
      </c>
      <c r="AX11" s="257">
        <v>7660</v>
      </c>
      <c r="AY11" s="258">
        <v>7267</v>
      </c>
      <c r="AZ11" s="1196">
        <f t="shared" si="26"/>
        <v>7660</v>
      </c>
      <c r="BA11" s="1197">
        <f t="shared" si="27"/>
        <v>7267</v>
      </c>
      <c r="BB11" s="257">
        <v>16836</v>
      </c>
      <c r="BC11" s="258">
        <v>13563</v>
      </c>
      <c r="BD11" s="1196">
        <f t="shared" si="28"/>
        <v>16836</v>
      </c>
      <c r="BE11" s="1197">
        <f t="shared" si="29"/>
        <v>13563</v>
      </c>
      <c r="BF11" s="704">
        <v>31892</v>
      </c>
      <c r="BG11" s="705">
        <v>29737</v>
      </c>
      <c r="BH11" s="1196">
        <f t="shared" si="30"/>
        <v>31892</v>
      </c>
      <c r="BI11" s="1197">
        <f t="shared" si="31"/>
        <v>29737</v>
      </c>
      <c r="BJ11" s="257">
        <v>100781</v>
      </c>
      <c r="BK11" s="258">
        <v>137112</v>
      </c>
      <c r="BL11" s="1196">
        <f t="shared" si="32"/>
        <v>100781</v>
      </c>
      <c r="BM11" s="1197">
        <f t="shared" si="33"/>
        <v>137112</v>
      </c>
      <c r="BN11" s="257">
        <v>34892</v>
      </c>
      <c r="BO11" s="258">
        <v>32803</v>
      </c>
      <c r="BP11" s="1196">
        <f t="shared" si="34"/>
        <v>34892</v>
      </c>
      <c r="BQ11" s="1196">
        <f t="shared" si="35"/>
        <v>32803</v>
      </c>
      <c r="BR11" s="257">
        <v>34685</v>
      </c>
      <c r="BS11" s="258">
        <v>35474</v>
      </c>
      <c r="BT11" s="1196">
        <f t="shared" si="36"/>
        <v>34685</v>
      </c>
      <c r="BU11" s="1197">
        <f t="shared" si="37"/>
        <v>35474</v>
      </c>
      <c r="BV11" s="261"/>
      <c r="BW11" s="258"/>
      <c r="BX11" s="258"/>
      <c r="BY11" s="259"/>
      <c r="BZ11" s="1203">
        <v>124873</v>
      </c>
      <c r="CA11" s="1204">
        <v>129635</v>
      </c>
      <c r="CB11" s="1201">
        <f t="shared" si="38"/>
        <v>124873</v>
      </c>
      <c r="CC11" s="1202">
        <f t="shared" si="39"/>
        <v>129635</v>
      </c>
      <c r="CD11" s="635">
        <v>15085</v>
      </c>
      <c r="CE11" s="263">
        <v>9816</v>
      </c>
      <c r="CF11" s="1196">
        <f t="shared" si="40"/>
        <v>15085</v>
      </c>
      <c r="CG11" s="1197">
        <f t="shared" si="41"/>
        <v>9816</v>
      </c>
      <c r="CH11" s="1034">
        <v>6177</v>
      </c>
      <c r="CI11" s="266">
        <v>6537</v>
      </c>
      <c r="CJ11" s="1196">
        <f t="shared" si="42"/>
        <v>6177</v>
      </c>
      <c r="CK11" s="1197">
        <f t="shared" si="43"/>
        <v>6537</v>
      </c>
      <c r="CL11" s="257">
        <v>39047</v>
      </c>
      <c r="CM11" s="258">
        <v>38598</v>
      </c>
      <c r="CN11" s="1196">
        <f t="shared" si="44"/>
        <v>39047</v>
      </c>
      <c r="CO11" s="1197">
        <f t="shared" si="45"/>
        <v>38598</v>
      </c>
      <c r="CP11" s="1635">
        <f t="shared" si="46"/>
        <v>1113935</v>
      </c>
      <c r="CQ11" s="269">
        <f t="shared" si="0"/>
        <v>1069846</v>
      </c>
      <c r="CR11" s="269">
        <f t="shared" si="0"/>
        <v>1113935</v>
      </c>
      <c r="CS11" s="1488">
        <f t="shared" si="0"/>
        <v>1069846</v>
      </c>
      <c r="CT11" s="1034">
        <v>598884</v>
      </c>
      <c r="CU11" s="266">
        <v>520520</v>
      </c>
      <c r="CV11" s="1196">
        <f t="shared" si="47"/>
        <v>598884</v>
      </c>
      <c r="CW11" s="1197">
        <f t="shared" si="48"/>
        <v>520520</v>
      </c>
      <c r="CX11" s="1635">
        <f t="shared" si="49"/>
        <v>1712819</v>
      </c>
      <c r="CY11" s="269">
        <f t="shared" si="1"/>
        <v>1590366</v>
      </c>
      <c r="CZ11" s="269">
        <f t="shared" si="1"/>
        <v>1712819</v>
      </c>
      <c r="DA11" s="1488">
        <f t="shared" si="1"/>
        <v>1590366</v>
      </c>
    </row>
    <row r="12" spans="1:105" ht="16.5">
      <c r="A12" s="253" t="s">
        <v>84</v>
      </c>
      <c r="B12" s="254">
        <v>22592</v>
      </c>
      <c r="C12" s="255">
        <v>42478</v>
      </c>
      <c r="D12" s="1196">
        <f t="shared" si="2"/>
        <v>22592</v>
      </c>
      <c r="E12" s="1197">
        <f t="shared" si="3"/>
        <v>42478</v>
      </c>
      <c r="F12" s="257">
        <v>5801</v>
      </c>
      <c r="G12" s="258">
        <v>11418</v>
      </c>
      <c r="H12" s="1196">
        <f t="shared" si="4"/>
        <v>5801</v>
      </c>
      <c r="I12" s="1197">
        <f t="shared" si="5"/>
        <v>11418</v>
      </c>
      <c r="J12" s="257">
        <v>34691</v>
      </c>
      <c r="K12" s="258">
        <v>25916</v>
      </c>
      <c r="L12" s="1196">
        <f t="shared" si="6"/>
        <v>34691</v>
      </c>
      <c r="M12" s="1197">
        <f t="shared" si="7"/>
        <v>25916</v>
      </c>
      <c r="N12" s="257">
        <v>6305</v>
      </c>
      <c r="O12" s="258">
        <v>46627</v>
      </c>
      <c r="P12" s="1196">
        <f t="shared" si="8"/>
        <v>6305</v>
      </c>
      <c r="Q12" s="1197">
        <f t="shared" si="9"/>
        <v>46627</v>
      </c>
      <c r="R12" s="257">
        <v>56407</v>
      </c>
      <c r="S12" s="258">
        <v>38810</v>
      </c>
      <c r="T12" s="1196">
        <f t="shared" si="10"/>
        <v>56407</v>
      </c>
      <c r="U12" s="1197">
        <f t="shared" si="11"/>
        <v>38810</v>
      </c>
      <c r="V12" s="257">
        <v>25787</v>
      </c>
      <c r="W12" s="258">
        <v>20393</v>
      </c>
      <c r="X12" s="1196">
        <f t="shared" si="12"/>
        <v>25787</v>
      </c>
      <c r="Y12" s="1197">
        <f t="shared" si="13"/>
        <v>20393</v>
      </c>
      <c r="Z12" s="257">
        <v>42213</v>
      </c>
      <c r="AA12" s="258">
        <v>53372</v>
      </c>
      <c r="AB12" s="1196">
        <f t="shared" si="14"/>
        <v>42213</v>
      </c>
      <c r="AC12" s="1197">
        <f t="shared" si="15"/>
        <v>53372</v>
      </c>
      <c r="AD12" s="257">
        <v>21270</v>
      </c>
      <c r="AE12" s="258">
        <v>11255</v>
      </c>
      <c r="AF12" s="1196">
        <f t="shared" si="16"/>
        <v>21270</v>
      </c>
      <c r="AG12" s="1197">
        <f t="shared" si="17"/>
        <v>11255</v>
      </c>
      <c r="AH12" s="257">
        <v>72532</v>
      </c>
      <c r="AI12" s="258">
        <v>116634</v>
      </c>
      <c r="AJ12" s="1196">
        <f t="shared" si="18"/>
        <v>72532</v>
      </c>
      <c r="AK12" s="1197">
        <f t="shared" si="19"/>
        <v>116634</v>
      </c>
      <c r="AL12" s="257">
        <v>324814</v>
      </c>
      <c r="AM12" s="258">
        <v>256911</v>
      </c>
      <c r="AN12" s="1196">
        <f t="shared" si="20"/>
        <v>324814</v>
      </c>
      <c r="AO12" s="1197">
        <f t="shared" si="21"/>
        <v>256911</v>
      </c>
      <c r="AP12" s="257">
        <v>459026</v>
      </c>
      <c r="AQ12" s="258">
        <v>368012</v>
      </c>
      <c r="AR12" s="1196">
        <f t="shared" si="22"/>
        <v>459026</v>
      </c>
      <c r="AS12" s="1197">
        <f t="shared" si="23"/>
        <v>368012</v>
      </c>
      <c r="AT12" s="257">
        <v>296562</v>
      </c>
      <c r="AU12" s="258">
        <v>394778</v>
      </c>
      <c r="AV12" s="1196">
        <f t="shared" si="24"/>
        <v>296562</v>
      </c>
      <c r="AW12" s="1197">
        <f t="shared" si="25"/>
        <v>394778</v>
      </c>
      <c r="AX12" s="257">
        <v>45365</v>
      </c>
      <c r="AY12" s="258">
        <v>40848</v>
      </c>
      <c r="AZ12" s="1196">
        <f t="shared" si="26"/>
        <v>45365</v>
      </c>
      <c r="BA12" s="1197">
        <f t="shared" si="27"/>
        <v>40848</v>
      </c>
      <c r="BB12" s="257">
        <v>12818</v>
      </c>
      <c r="BC12" s="258">
        <v>12909</v>
      </c>
      <c r="BD12" s="1196">
        <f t="shared" si="28"/>
        <v>12818</v>
      </c>
      <c r="BE12" s="1197">
        <f t="shared" si="29"/>
        <v>12909</v>
      </c>
      <c r="BF12" s="257">
        <v>51319</v>
      </c>
      <c r="BG12" s="258">
        <v>50867</v>
      </c>
      <c r="BH12" s="1196">
        <f t="shared" si="30"/>
        <v>51319</v>
      </c>
      <c r="BI12" s="1197">
        <f t="shared" si="31"/>
        <v>50867</v>
      </c>
      <c r="BJ12" s="257">
        <v>111657</v>
      </c>
      <c r="BK12" s="258">
        <v>68066</v>
      </c>
      <c r="BL12" s="1196">
        <f t="shared" si="32"/>
        <v>111657</v>
      </c>
      <c r="BM12" s="1197">
        <f t="shared" si="33"/>
        <v>68066</v>
      </c>
      <c r="BN12" s="257">
        <v>27655</v>
      </c>
      <c r="BO12" s="258">
        <v>25546</v>
      </c>
      <c r="BP12" s="1196">
        <f t="shared" si="34"/>
        <v>27655</v>
      </c>
      <c r="BQ12" s="1196">
        <f t="shared" si="35"/>
        <v>25546</v>
      </c>
      <c r="BR12" s="257">
        <v>88009</v>
      </c>
      <c r="BS12" s="258">
        <v>96921</v>
      </c>
      <c r="BT12" s="1196">
        <f t="shared" si="36"/>
        <v>88009</v>
      </c>
      <c r="BU12" s="1197">
        <f t="shared" si="37"/>
        <v>96921</v>
      </c>
      <c r="BV12" s="261"/>
      <c r="BW12" s="258"/>
      <c r="BX12" s="258"/>
      <c r="BY12" s="259"/>
      <c r="BZ12" s="1203">
        <v>324533</v>
      </c>
      <c r="CA12" s="1204">
        <v>264812</v>
      </c>
      <c r="CB12" s="1201">
        <f t="shared" si="38"/>
        <v>324533</v>
      </c>
      <c r="CC12" s="1202">
        <f t="shared" si="39"/>
        <v>264812</v>
      </c>
      <c r="CD12" s="635">
        <v>40142</v>
      </c>
      <c r="CE12" s="263">
        <v>47859</v>
      </c>
      <c r="CF12" s="1196">
        <f t="shared" si="40"/>
        <v>40142</v>
      </c>
      <c r="CG12" s="1197">
        <f t="shared" si="41"/>
        <v>47859</v>
      </c>
      <c r="CH12" s="1034">
        <v>22378</v>
      </c>
      <c r="CI12" s="266">
        <v>15324</v>
      </c>
      <c r="CJ12" s="1196">
        <f t="shared" si="42"/>
        <v>22378</v>
      </c>
      <c r="CK12" s="1197">
        <f t="shared" si="43"/>
        <v>15324</v>
      </c>
      <c r="CL12" s="257">
        <v>361115</v>
      </c>
      <c r="CM12" s="258">
        <v>280776</v>
      </c>
      <c r="CN12" s="1196">
        <f t="shared" si="44"/>
        <v>361115</v>
      </c>
      <c r="CO12" s="1197">
        <f t="shared" si="45"/>
        <v>280776</v>
      </c>
      <c r="CP12" s="1635">
        <f t="shared" si="46"/>
        <v>2452991</v>
      </c>
      <c r="CQ12" s="269">
        <f t="shared" si="0"/>
        <v>2290532</v>
      </c>
      <c r="CR12" s="269">
        <f t="shared" si="0"/>
        <v>2452991</v>
      </c>
      <c r="CS12" s="1488">
        <f t="shared" si="0"/>
        <v>2290532</v>
      </c>
      <c r="CT12" s="1034">
        <v>33739</v>
      </c>
      <c r="CU12" s="266">
        <v>43759</v>
      </c>
      <c r="CV12" s="1196">
        <f t="shared" si="47"/>
        <v>33739</v>
      </c>
      <c r="CW12" s="1197">
        <f t="shared" si="48"/>
        <v>43759</v>
      </c>
      <c r="CX12" s="1635">
        <f t="shared" si="49"/>
        <v>2486730</v>
      </c>
      <c r="CY12" s="269">
        <f t="shared" si="1"/>
        <v>2334291</v>
      </c>
      <c r="CZ12" s="269">
        <f t="shared" si="1"/>
        <v>2486730</v>
      </c>
      <c r="DA12" s="1488">
        <f t="shared" si="1"/>
        <v>2334291</v>
      </c>
    </row>
    <row r="13" spans="1:105" ht="16.5">
      <c r="A13" s="253" t="s">
        <v>85</v>
      </c>
      <c r="B13" s="254">
        <v>23996</v>
      </c>
      <c r="C13" s="255">
        <v>21489</v>
      </c>
      <c r="D13" s="1196">
        <f t="shared" si="2"/>
        <v>23996</v>
      </c>
      <c r="E13" s="1197">
        <f t="shared" si="3"/>
        <v>21489</v>
      </c>
      <c r="F13" s="257">
        <v>8317</v>
      </c>
      <c r="G13" s="258">
        <v>29445</v>
      </c>
      <c r="H13" s="1196">
        <f t="shared" si="4"/>
        <v>8317</v>
      </c>
      <c r="I13" s="1197">
        <f t="shared" si="5"/>
        <v>29445</v>
      </c>
      <c r="J13" s="257">
        <v>1406</v>
      </c>
      <c r="K13" s="258">
        <v>3302</v>
      </c>
      <c r="L13" s="1196">
        <f t="shared" si="6"/>
        <v>1406</v>
      </c>
      <c r="M13" s="1197">
        <f t="shared" si="7"/>
        <v>3302</v>
      </c>
      <c r="N13" s="257"/>
      <c r="O13" s="258">
        <v>5169</v>
      </c>
      <c r="P13" s="1196">
        <f t="shared" si="8"/>
        <v>0</v>
      </c>
      <c r="Q13" s="1197">
        <f t="shared" si="9"/>
        <v>5169</v>
      </c>
      <c r="R13" s="257">
        <v>6008</v>
      </c>
      <c r="S13" s="258">
        <v>10727</v>
      </c>
      <c r="T13" s="1196">
        <f t="shared" si="10"/>
        <v>6008</v>
      </c>
      <c r="U13" s="1197">
        <f t="shared" si="11"/>
        <v>10727</v>
      </c>
      <c r="V13" s="257">
        <v>8215</v>
      </c>
      <c r="W13" s="258">
        <v>6850</v>
      </c>
      <c r="X13" s="1196">
        <f t="shared" si="12"/>
        <v>8215</v>
      </c>
      <c r="Y13" s="1197">
        <f t="shared" si="13"/>
        <v>6850</v>
      </c>
      <c r="Z13" s="257">
        <v>1182</v>
      </c>
      <c r="AA13" s="258">
        <v>2768</v>
      </c>
      <c r="AB13" s="1196">
        <f t="shared" si="14"/>
        <v>1182</v>
      </c>
      <c r="AC13" s="1197">
        <f t="shared" si="15"/>
        <v>2768</v>
      </c>
      <c r="AD13" s="257">
        <v>9612</v>
      </c>
      <c r="AE13" s="258">
        <v>3250</v>
      </c>
      <c r="AF13" s="1196">
        <f t="shared" si="16"/>
        <v>9612</v>
      </c>
      <c r="AG13" s="1197">
        <f t="shared" si="17"/>
        <v>3250</v>
      </c>
      <c r="AH13" s="257">
        <v>10477</v>
      </c>
      <c r="AI13" s="258">
        <v>8745</v>
      </c>
      <c r="AJ13" s="1196">
        <f t="shared" si="18"/>
        <v>10477</v>
      </c>
      <c r="AK13" s="1197">
        <f t="shared" si="19"/>
        <v>8745</v>
      </c>
      <c r="AL13" s="257">
        <v>4302</v>
      </c>
      <c r="AM13" s="258">
        <v>2564</v>
      </c>
      <c r="AN13" s="1196">
        <f t="shared" si="20"/>
        <v>4302</v>
      </c>
      <c r="AO13" s="1197">
        <f t="shared" si="21"/>
        <v>2564</v>
      </c>
      <c r="AP13" s="257">
        <v>38299</v>
      </c>
      <c r="AQ13" s="258">
        <v>35452</v>
      </c>
      <c r="AR13" s="1196">
        <f t="shared" si="22"/>
        <v>38299</v>
      </c>
      <c r="AS13" s="1197">
        <f t="shared" si="23"/>
        <v>35452</v>
      </c>
      <c r="AT13" s="257">
        <v>70722</v>
      </c>
      <c r="AU13" s="258">
        <v>71427</v>
      </c>
      <c r="AV13" s="1196">
        <f t="shared" si="24"/>
        <v>70722</v>
      </c>
      <c r="AW13" s="1197">
        <f t="shared" si="25"/>
        <v>71427</v>
      </c>
      <c r="AX13" s="257">
        <v>2884</v>
      </c>
      <c r="AY13" s="258">
        <v>2132</v>
      </c>
      <c r="AZ13" s="1196">
        <f t="shared" si="26"/>
        <v>2884</v>
      </c>
      <c r="BA13" s="1197">
        <f t="shared" si="27"/>
        <v>2132</v>
      </c>
      <c r="BB13" s="257">
        <v>4353</v>
      </c>
      <c r="BC13" s="258">
        <v>4129</v>
      </c>
      <c r="BD13" s="1196">
        <f t="shared" si="28"/>
        <v>4353</v>
      </c>
      <c r="BE13" s="1197">
        <f t="shared" si="29"/>
        <v>4129</v>
      </c>
      <c r="BF13" s="257">
        <v>9343</v>
      </c>
      <c r="BG13" s="258">
        <v>14654</v>
      </c>
      <c r="BH13" s="1196">
        <f t="shared" si="30"/>
        <v>9343</v>
      </c>
      <c r="BI13" s="1197">
        <f t="shared" si="31"/>
        <v>14654</v>
      </c>
      <c r="BJ13" s="257">
        <v>61432</v>
      </c>
      <c r="BK13" s="258">
        <v>49779</v>
      </c>
      <c r="BL13" s="1196">
        <f t="shared" si="32"/>
        <v>61432</v>
      </c>
      <c r="BM13" s="1197">
        <f t="shared" si="33"/>
        <v>49779</v>
      </c>
      <c r="BN13" s="257">
        <v>17978</v>
      </c>
      <c r="BO13" s="258">
        <v>13479</v>
      </c>
      <c r="BP13" s="1196">
        <f t="shared" si="34"/>
        <v>17978</v>
      </c>
      <c r="BQ13" s="1196">
        <f t="shared" si="35"/>
        <v>13479</v>
      </c>
      <c r="BR13" s="257">
        <v>4632</v>
      </c>
      <c r="BS13" s="258">
        <v>7112</v>
      </c>
      <c r="BT13" s="1196">
        <f t="shared" si="36"/>
        <v>4632</v>
      </c>
      <c r="BU13" s="1197">
        <f t="shared" si="37"/>
        <v>7112</v>
      </c>
      <c r="BV13" s="261"/>
      <c r="BW13" s="258"/>
      <c r="BX13" s="258"/>
      <c r="BY13" s="259"/>
      <c r="BZ13" s="1203">
        <v>69247</v>
      </c>
      <c r="CA13" s="1204">
        <v>75429</v>
      </c>
      <c r="CB13" s="1201">
        <f t="shared" si="38"/>
        <v>69247</v>
      </c>
      <c r="CC13" s="1202">
        <f t="shared" si="39"/>
        <v>75429</v>
      </c>
      <c r="CD13" s="635">
        <v>761</v>
      </c>
      <c r="CE13" s="263">
        <v>1777</v>
      </c>
      <c r="CF13" s="1196">
        <f t="shared" si="40"/>
        <v>761</v>
      </c>
      <c r="CG13" s="1197">
        <f t="shared" si="41"/>
        <v>1777</v>
      </c>
      <c r="CH13" s="1034">
        <v>3267</v>
      </c>
      <c r="CI13" s="266">
        <v>3836</v>
      </c>
      <c r="CJ13" s="1196">
        <f t="shared" si="42"/>
        <v>3267</v>
      </c>
      <c r="CK13" s="1197">
        <f t="shared" si="43"/>
        <v>3836</v>
      </c>
      <c r="CL13" s="257">
        <v>51583</v>
      </c>
      <c r="CM13" s="258">
        <v>34851</v>
      </c>
      <c r="CN13" s="1196">
        <f t="shared" si="44"/>
        <v>51583</v>
      </c>
      <c r="CO13" s="1197">
        <f t="shared" si="45"/>
        <v>34851</v>
      </c>
      <c r="CP13" s="1635">
        <f t="shared" si="46"/>
        <v>408016</v>
      </c>
      <c r="CQ13" s="269">
        <f t="shared" si="0"/>
        <v>408366</v>
      </c>
      <c r="CR13" s="269">
        <f t="shared" si="0"/>
        <v>408016</v>
      </c>
      <c r="CS13" s="1488">
        <f t="shared" si="0"/>
        <v>408366</v>
      </c>
      <c r="CT13" s="1034">
        <v>93174</v>
      </c>
      <c r="CU13" s="266">
        <v>98492</v>
      </c>
      <c r="CV13" s="1196">
        <f t="shared" si="47"/>
        <v>93174</v>
      </c>
      <c r="CW13" s="1197">
        <f t="shared" si="48"/>
        <v>98492</v>
      </c>
      <c r="CX13" s="1635">
        <f t="shared" si="49"/>
        <v>501190</v>
      </c>
      <c r="CY13" s="269">
        <f t="shared" si="1"/>
        <v>506858</v>
      </c>
      <c r="CZ13" s="269">
        <f t="shared" si="1"/>
        <v>501190</v>
      </c>
      <c r="DA13" s="1488">
        <f t="shared" si="1"/>
        <v>506858</v>
      </c>
    </row>
    <row r="14" spans="1:105" ht="16.5">
      <c r="A14" s="253" t="s">
        <v>86</v>
      </c>
      <c r="B14" s="254"/>
      <c r="C14" s="255"/>
      <c r="D14" s="1196">
        <f t="shared" si="2"/>
        <v>0</v>
      </c>
      <c r="E14" s="1197">
        <f t="shared" si="3"/>
        <v>0</v>
      </c>
      <c r="F14" s="257"/>
      <c r="G14" s="258"/>
      <c r="H14" s="1196">
        <f t="shared" si="4"/>
        <v>0</v>
      </c>
      <c r="I14" s="1197">
        <f t="shared" si="5"/>
        <v>0</v>
      </c>
      <c r="J14" s="257"/>
      <c r="K14" s="258"/>
      <c r="L14" s="1196">
        <f t="shared" si="6"/>
        <v>0</v>
      </c>
      <c r="M14" s="1197">
        <f t="shared" si="7"/>
        <v>0</v>
      </c>
      <c r="N14" s="257"/>
      <c r="O14" s="258"/>
      <c r="P14" s="1196">
        <f t="shared" si="8"/>
        <v>0</v>
      </c>
      <c r="Q14" s="1197">
        <f t="shared" si="9"/>
        <v>0</v>
      </c>
      <c r="R14" s="257"/>
      <c r="S14" s="258"/>
      <c r="T14" s="1196">
        <f t="shared" si="10"/>
        <v>0</v>
      </c>
      <c r="U14" s="1197">
        <f t="shared" si="11"/>
        <v>0</v>
      </c>
      <c r="V14" s="257"/>
      <c r="W14" s="258"/>
      <c r="X14" s="1196">
        <f t="shared" si="12"/>
        <v>0</v>
      </c>
      <c r="Y14" s="1197">
        <f t="shared" si="13"/>
        <v>0</v>
      </c>
      <c r="Z14" s="257"/>
      <c r="AA14" s="258"/>
      <c r="AB14" s="1196">
        <f t="shared" si="14"/>
        <v>0</v>
      </c>
      <c r="AC14" s="1197">
        <f t="shared" si="15"/>
        <v>0</v>
      </c>
      <c r="AD14" s="257"/>
      <c r="AE14" s="258"/>
      <c r="AF14" s="1196">
        <f t="shared" si="16"/>
        <v>0</v>
      </c>
      <c r="AG14" s="1197">
        <f t="shared" si="17"/>
        <v>0</v>
      </c>
      <c r="AH14" s="257"/>
      <c r="AI14" s="258"/>
      <c r="AJ14" s="1196">
        <f t="shared" si="18"/>
        <v>0</v>
      </c>
      <c r="AK14" s="1197">
        <f t="shared" si="19"/>
        <v>0</v>
      </c>
      <c r="AL14" s="257"/>
      <c r="AM14" s="258"/>
      <c r="AN14" s="1196">
        <f t="shared" si="20"/>
        <v>0</v>
      </c>
      <c r="AO14" s="1197">
        <f t="shared" si="21"/>
        <v>0</v>
      </c>
      <c r="AP14" s="257"/>
      <c r="AQ14" s="258"/>
      <c r="AR14" s="1196">
        <f t="shared" si="22"/>
        <v>0</v>
      </c>
      <c r="AS14" s="1197">
        <f t="shared" si="23"/>
        <v>0</v>
      </c>
      <c r="AT14" s="257"/>
      <c r="AU14" s="258"/>
      <c r="AV14" s="1196">
        <f t="shared" si="24"/>
        <v>0</v>
      </c>
      <c r="AW14" s="1197">
        <f t="shared" si="25"/>
        <v>0</v>
      </c>
      <c r="AX14" s="257"/>
      <c r="AY14" s="258"/>
      <c r="AZ14" s="1196">
        <f t="shared" si="26"/>
        <v>0</v>
      </c>
      <c r="BA14" s="1197">
        <f t="shared" si="27"/>
        <v>0</v>
      </c>
      <c r="BB14" s="257"/>
      <c r="BC14" s="258"/>
      <c r="BD14" s="1196">
        <f t="shared" si="28"/>
        <v>0</v>
      </c>
      <c r="BE14" s="1197">
        <f t="shared" si="29"/>
        <v>0</v>
      </c>
      <c r="BF14" s="257"/>
      <c r="BG14" s="258"/>
      <c r="BH14" s="1196">
        <f t="shared" si="30"/>
        <v>0</v>
      </c>
      <c r="BI14" s="1197">
        <f t="shared" si="31"/>
        <v>0</v>
      </c>
      <c r="BJ14" s="257"/>
      <c r="BK14" s="258"/>
      <c r="BL14" s="1196">
        <f t="shared" si="32"/>
        <v>0</v>
      </c>
      <c r="BM14" s="1197">
        <f t="shared" si="33"/>
        <v>0</v>
      </c>
      <c r="BN14" s="257"/>
      <c r="BO14" s="258"/>
      <c r="BP14" s="1196">
        <f t="shared" si="34"/>
        <v>0</v>
      </c>
      <c r="BQ14" s="1196">
        <f t="shared" si="35"/>
        <v>0</v>
      </c>
      <c r="BR14" s="257"/>
      <c r="BS14" s="258"/>
      <c r="BT14" s="1196">
        <f t="shared" si="36"/>
        <v>0</v>
      </c>
      <c r="BU14" s="1197">
        <f t="shared" si="37"/>
        <v>0</v>
      </c>
      <c r="BV14" s="261"/>
      <c r="BW14" s="258"/>
      <c r="BX14" s="258"/>
      <c r="BY14" s="259"/>
      <c r="BZ14" s="257"/>
      <c r="CA14" s="258"/>
      <c r="CB14" s="1201">
        <f t="shared" si="38"/>
        <v>0</v>
      </c>
      <c r="CC14" s="1202">
        <f t="shared" si="39"/>
        <v>0</v>
      </c>
      <c r="CD14" s="635"/>
      <c r="CE14" s="263"/>
      <c r="CF14" s="1196">
        <f t="shared" si="40"/>
        <v>0</v>
      </c>
      <c r="CG14" s="1197">
        <f t="shared" si="41"/>
        <v>0</v>
      </c>
      <c r="CH14" s="1034"/>
      <c r="CI14" s="266"/>
      <c r="CJ14" s="1196">
        <f t="shared" si="42"/>
        <v>0</v>
      </c>
      <c r="CK14" s="1197">
        <f t="shared" si="43"/>
        <v>0</v>
      </c>
      <c r="CL14" s="257"/>
      <c r="CM14" s="258"/>
      <c r="CN14" s="1196">
        <f t="shared" si="44"/>
        <v>0</v>
      </c>
      <c r="CO14" s="1197">
        <f t="shared" si="45"/>
        <v>0</v>
      </c>
      <c r="CP14" s="1635">
        <f t="shared" si="46"/>
        <v>0</v>
      </c>
      <c r="CQ14" s="269">
        <f t="shared" si="0"/>
        <v>0</v>
      </c>
      <c r="CR14" s="269">
        <f t="shared" si="0"/>
        <v>0</v>
      </c>
      <c r="CS14" s="1488">
        <f t="shared" si="0"/>
        <v>0</v>
      </c>
      <c r="CT14" s="1034"/>
      <c r="CU14" s="266"/>
      <c r="CV14" s="1196">
        <f t="shared" si="47"/>
        <v>0</v>
      </c>
      <c r="CW14" s="1197">
        <f t="shared" si="48"/>
        <v>0</v>
      </c>
      <c r="CX14" s="1635">
        <f t="shared" si="49"/>
        <v>0</v>
      </c>
      <c r="CY14" s="269">
        <f t="shared" si="1"/>
        <v>0</v>
      </c>
      <c r="CZ14" s="269">
        <f t="shared" si="1"/>
        <v>0</v>
      </c>
      <c r="DA14" s="1488">
        <f t="shared" si="1"/>
        <v>0</v>
      </c>
    </row>
    <row r="15" spans="1:105" ht="16.5">
      <c r="A15" s="253" t="s">
        <v>87</v>
      </c>
      <c r="B15" s="254">
        <v>1800</v>
      </c>
      <c r="C15" s="255">
        <v>1800</v>
      </c>
      <c r="D15" s="1196">
        <f t="shared" si="2"/>
        <v>1800</v>
      </c>
      <c r="E15" s="1197">
        <f t="shared" si="3"/>
        <v>1800</v>
      </c>
      <c r="F15" s="257">
        <v>875</v>
      </c>
      <c r="G15" s="258">
        <v>875</v>
      </c>
      <c r="H15" s="1196">
        <f t="shared" si="4"/>
        <v>875</v>
      </c>
      <c r="I15" s="1197">
        <f t="shared" si="5"/>
        <v>875</v>
      </c>
      <c r="J15" s="257">
        <v>1601</v>
      </c>
      <c r="K15" s="258">
        <v>1702</v>
      </c>
      <c r="L15" s="1196">
        <f t="shared" si="6"/>
        <v>1601</v>
      </c>
      <c r="M15" s="1197">
        <f t="shared" si="7"/>
        <v>1702</v>
      </c>
      <c r="N15" s="257">
        <v>2376</v>
      </c>
      <c r="O15" s="258">
        <v>2376</v>
      </c>
      <c r="P15" s="1196">
        <f t="shared" si="8"/>
        <v>2376</v>
      </c>
      <c r="Q15" s="1197">
        <f t="shared" si="9"/>
        <v>2376</v>
      </c>
      <c r="R15" s="257">
        <v>1513</v>
      </c>
      <c r="S15" s="258">
        <v>1375</v>
      </c>
      <c r="T15" s="1196">
        <f t="shared" si="10"/>
        <v>1513</v>
      </c>
      <c r="U15" s="1197">
        <f t="shared" si="11"/>
        <v>1375</v>
      </c>
      <c r="V15" s="257">
        <v>376</v>
      </c>
      <c r="W15" s="258">
        <v>564</v>
      </c>
      <c r="X15" s="1196">
        <f t="shared" si="12"/>
        <v>376</v>
      </c>
      <c r="Y15" s="1197">
        <f t="shared" si="13"/>
        <v>564</v>
      </c>
      <c r="Z15" s="257">
        <v>876</v>
      </c>
      <c r="AA15" s="258">
        <v>875</v>
      </c>
      <c r="AB15" s="1196">
        <f t="shared" si="14"/>
        <v>876</v>
      </c>
      <c r="AC15" s="1197">
        <f t="shared" si="15"/>
        <v>875</v>
      </c>
      <c r="AD15" s="257">
        <v>487</v>
      </c>
      <c r="AE15" s="258">
        <v>575</v>
      </c>
      <c r="AF15" s="1196">
        <f t="shared" si="16"/>
        <v>487</v>
      </c>
      <c r="AG15" s="1197">
        <f t="shared" si="17"/>
        <v>575</v>
      </c>
      <c r="AH15" s="257">
        <v>925</v>
      </c>
      <c r="AI15" s="258">
        <v>875</v>
      </c>
      <c r="AJ15" s="1196">
        <f t="shared" si="18"/>
        <v>925</v>
      </c>
      <c r="AK15" s="1197">
        <f t="shared" si="19"/>
        <v>875</v>
      </c>
      <c r="AL15" s="257">
        <v>1213</v>
      </c>
      <c r="AM15" s="258">
        <v>606</v>
      </c>
      <c r="AN15" s="1196">
        <f t="shared" si="20"/>
        <v>1213</v>
      </c>
      <c r="AO15" s="1197">
        <f t="shared" si="21"/>
        <v>606</v>
      </c>
      <c r="AP15" s="257">
        <v>2400</v>
      </c>
      <c r="AQ15" s="258">
        <v>2400</v>
      </c>
      <c r="AR15" s="1196">
        <f t="shared" si="22"/>
        <v>2400</v>
      </c>
      <c r="AS15" s="1197">
        <f t="shared" si="23"/>
        <v>2400</v>
      </c>
      <c r="AT15" s="257">
        <v>4884</v>
      </c>
      <c r="AU15" s="258">
        <v>4136</v>
      </c>
      <c r="AV15" s="1196">
        <f t="shared" si="24"/>
        <v>4884</v>
      </c>
      <c r="AW15" s="1197">
        <f t="shared" si="25"/>
        <v>4136</v>
      </c>
      <c r="AX15" s="1032">
        <v>964</v>
      </c>
      <c r="AY15" s="260">
        <v>925</v>
      </c>
      <c r="AZ15" s="1196">
        <f t="shared" si="26"/>
        <v>964</v>
      </c>
      <c r="BA15" s="1197">
        <f t="shared" si="27"/>
        <v>925</v>
      </c>
      <c r="BB15" s="257">
        <v>940</v>
      </c>
      <c r="BC15" s="258">
        <v>848</v>
      </c>
      <c r="BD15" s="1196">
        <f t="shared" si="28"/>
        <v>940</v>
      </c>
      <c r="BE15" s="1197">
        <f t="shared" si="29"/>
        <v>848</v>
      </c>
      <c r="BF15" s="704">
        <v>1959</v>
      </c>
      <c r="BG15" s="705">
        <v>2212</v>
      </c>
      <c r="BH15" s="1196">
        <f t="shared" si="30"/>
        <v>1959</v>
      </c>
      <c r="BI15" s="1197">
        <f t="shared" si="31"/>
        <v>2212</v>
      </c>
      <c r="BJ15" s="257">
        <v>2257</v>
      </c>
      <c r="BK15" s="258">
        <v>2256</v>
      </c>
      <c r="BL15" s="1196">
        <f t="shared" si="32"/>
        <v>2257</v>
      </c>
      <c r="BM15" s="1197">
        <f t="shared" si="33"/>
        <v>2256</v>
      </c>
      <c r="BN15" s="257">
        <v>1750</v>
      </c>
      <c r="BO15" s="258">
        <v>1500</v>
      </c>
      <c r="BP15" s="1196">
        <f t="shared" si="34"/>
        <v>1750</v>
      </c>
      <c r="BQ15" s="1196">
        <f t="shared" si="35"/>
        <v>1500</v>
      </c>
      <c r="BR15" s="257">
        <v>1563</v>
      </c>
      <c r="BS15" s="258">
        <v>1382</v>
      </c>
      <c r="BT15" s="1196">
        <f t="shared" si="36"/>
        <v>1563</v>
      </c>
      <c r="BU15" s="1197">
        <f t="shared" si="37"/>
        <v>1382</v>
      </c>
      <c r="BV15" s="261"/>
      <c r="BW15" s="258"/>
      <c r="BX15" s="258"/>
      <c r="BY15" s="259"/>
      <c r="BZ15" s="1203">
        <v>950</v>
      </c>
      <c r="CA15" s="1204">
        <v>950</v>
      </c>
      <c r="CB15" s="1201">
        <f t="shared" si="38"/>
        <v>950</v>
      </c>
      <c r="CC15" s="1202">
        <f t="shared" si="39"/>
        <v>950</v>
      </c>
      <c r="CD15" s="635">
        <v>425</v>
      </c>
      <c r="CE15" s="263">
        <v>375</v>
      </c>
      <c r="CF15" s="1196">
        <f t="shared" si="40"/>
        <v>425</v>
      </c>
      <c r="CG15" s="1197">
        <f t="shared" si="41"/>
        <v>375</v>
      </c>
      <c r="CH15" s="1034">
        <v>919</v>
      </c>
      <c r="CI15" s="266">
        <v>777</v>
      </c>
      <c r="CJ15" s="1196">
        <f t="shared" si="42"/>
        <v>919</v>
      </c>
      <c r="CK15" s="1197">
        <f t="shared" si="43"/>
        <v>777</v>
      </c>
      <c r="CL15" s="257">
        <v>2150</v>
      </c>
      <c r="CM15" s="258">
        <v>3300</v>
      </c>
      <c r="CN15" s="1196">
        <f t="shared" si="44"/>
        <v>2150</v>
      </c>
      <c r="CO15" s="1197">
        <f t="shared" si="45"/>
        <v>3300</v>
      </c>
      <c r="CP15" s="1636">
        <f t="shared" si="46"/>
        <v>33203</v>
      </c>
      <c r="CQ15" s="254">
        <f t="shared" si="0"/>
        <v>32684</v>
      </c>
      <c r="CR15" s="254">
        <f t="shared" si="0"/>
        <v>33203</v>
      </c>
      <c r="CS15" s="1175">
        <f t="shared" si="0"/>
        <v>32684</v>
      </c>
      <c r="CT15" s="257">
        <v>10164</v>
      </c>
      <c r="CU15" s="258">
        <v>8112</v>
      </c>
      <c r="CV15" s="1196">
        <f t="shared" si="47"/>
        <v>10164</v>
      </c>
      <c r="CW15" s="1197">
        <f t="shared" si="48"/>
        <v>8112</v>
      </c>
      <c r="CX15" s="1636">
        <f t="shared" si="49"/>
        <v>43367</v>
      </c>
      <c r="CY15" s="254">
        <f t="shared" si="1"/>
        <v>40796</v>
      </c>
      <c r="CZ15" s="254">
        <f t="shared" si="1"/>
        <v>43367</v>
      </c>
      <c r="DA15" s="1175">
        <f t="shared" si="1"/>
        <v>40796</v>
      </c>
    </row>
    <row r="16" spans="1:105" ht="16.5">
      <c r="A16" s="253" t="s">
        <v>88</v>
      </c>
      <c r="B16" s="254"/>
      <c r="C16" s="255"/>
      <c r="D16" s="1196">
        <f t="shared" si="2"/>
        <v>0</v>
      </c>
      <c r="E16" s="1197">
        <f t="shared" si="3"/>
        <v>0</v>
      </c>
      <c r="F16" s="257"/>
      <c r="G16" s="258"/>
      <c r="H16" s="1196">
        <f t="shared" si="4"/>
        <v>0</v>
      </c>
      <c r="I16" s="1197">
        <f t="shared" si="5"/>
        <v>0</v>
      </c>
      <c r="J16" s="257"/>
      <c r="K16" s="258"/>
      <c r="L16" s="1196">
        <f t="shared" si="6"/>
        <v>0</v>
      </c>
      <c r="M16" s="1197">
        <f t="shared" si="7"/>
        <v>0</v>
      </c>
      <c r="N16" s="257"/>
      <c r="O16" s="258"/>
      <c r="P16" s="1196">
        <f t="shared" si="8"/>
        <v>0</v>
      </c>
      <c r="Q16" s="1197">
        <f t="shared" si="9"/>
        <v>0</v>
      </c>
      <c r="R16" s="257"/>
      <c r="S16" s="258"/>
      <c r="T16" s="1196">
        <f t="shared" si="10"/>
        <v>0</v>
      </c>
      <c r="U16" s="1197">
        <f t="shared" si="11"/>
        <v>0</v>
      </c>
      <c r="V16" s="257"/>
      <c r="W16" s="258"/>
      <c r="X16" s="1196">
        <f t="shared" si="12"/>
        <v>0</v>
      </c>
      <c r="Y16" s="1197">
        <f t="shared" si="13"/>
        <v>0</v>
      </c>
      <c r="Z16" s="257"/>
      <c r="AA16" s="258"/>
      <c r="AB16" s="1196">
        <f t="shared" si="14"/>
        <v>0</v>
      </c>
      <c r="AC16" s="1197">
        <f t="shared" si="15"/>
        <v>0</v>
      </c>
      <c r="AD16" s="257"/>
      <c r="AE16" s="258"/>
      <c r="AF16" s="1196">
        <f t="shared" si="16"/>
        <v>0</v>
      </c>
      <c r="AG16" s="1197">
        <f t="shared" si="17"/>
        <v>0</v>
      </c>
      <c r="AH16" s="257"/>
      <c r="AI16" s="258"/>
      <c r="AJ16" s="1196">
        <f t="shared" si="18"/>
        <v>0</v>
      </c>
      <c r="AK16" s="1197">
        <f t="shared" si="19"/>
        <v>0</v>
      </c>
      <c r="AL16" s="257"/>
      <c r="AM16" s="258"/>
      <c r="AN16" s="1196">
        <f t="shared" si="20"/>
        <v>0</v>
      </c>
      <c r="AO16" s="1197">
        <f t="shared" si="21"/>
        <v>0</v>
      </c>
      <c r="AP16" s="257"/>
      <c r="AQ16" s="258"/>
      <c r="AR16" s="1196">
        <f t="shared" si="22"/>
        <v>0</v>
      </c>
      <c r="AS16" s="1197">
        <f t="shared" si="23"/>
        <v>0</v>
      </c>
      <c r="AT16" s="257"/>
      <c r="AU16" s="258"/>
      <c r="AV16" s="1196">
        <f t="shared" si="24"/>
        <v>0</v>
      </c>
      <c r="AW16" s="1197">
        <f t="shared" si="25"/>
        <v>0</v>
      </c>
      <c r="AX16" s="1032"/>
      <c r="AY16" s="260"/>
      <c r="AZ16" s="1196">
        <f t="shared" si="26"/>
        <v>0</v>
      </c>
      <c r="BA16" s="1197">
        <f t="shared" si="27"/>
        <v>0</v>
      </c>
      <c r="BB16" s="257"/>
      <c r="BC16" s="258"/>
      <c r="BD16" s="1196">
        <f t="shared" si="28"/>
        <v>0</v>
      </c>
      <c r="BE16" s="1197">
        <f t="shared" si="29"/>
        <v>0</v>
      </c>
      <c r="BF16" s="257"/>
      <c r="BG16" s="258"/>
      <c r="BH16" s="1196">
        <f t="shared" si="30"/>
        <v>0</v>
      </c>
      <c r="BI16" s="1197">
        <f t="shared" si="31"/>
        <v>0</v>
      </c>
      <c r="BJ16" s="257"/>
      <c r="BK16" s="258"/>
      <c r="BL16" s="1196">
        <f t="shared" si="32"/>
        <v>0</v>
      </c>
      <c r="BM16" s="1197">
        <f t="shared" si="33"/>
        <v>0</v>
      </c>
      <c r="BN16" s="257"/>
      <c r="BO16" s="258"/>
      <c r="BP16" s="1196">
        <f t="shared" si="34"/>
        <v>0</v>
      </c>
      <c r="BQ16" s="1196">
        <f t="shared" si="35"/>
        <v>0</v>
      </c>
      <c r="BR16" s="257"/>
      <c r="BS16" s="258"/>
      <c r="BT16" s="1196">
        <f t="shared" si="36"/>
        <v>0</v>
      </c>
      <c r="BU16" s="1197">
        <f t="shared" si="37"/>
        <v>0</v>
      </c>
      <c r="BV16" s="261"/>
      <c r="BW16" s="258"/>
      <c r="BX16" s="258"/>
      <c r="BY16" s="259"/>
      <c r="BZ16" s="1203"/>
      <c r="CA16" s="1204"/>
      <c r="CB16" s="1201">
        <f t="shared" si="38"/>
        <v>0</v>
      </c>
      <c r="CC16" s="1202">
        <f t="shared" si="39"/>
        <v>0</v>
      </c>
      <c r="CD16" s="635"/>
      <c r="CE16" s="263"/>
      <c r="CF16" s="1196">
        <f t="shared" si="40"/>
        <v>0</v>
      </c>
      <c r="CG16" s="1197">
        <f t="shared" si="41"/>
        <v>0</v>
      </c>
      <c r="CH16" s="1034"/>
      <c r="CI16" s="266"/>
      <c r="CJ16" s="1196">
        <f t="shared" si="42"/>
        <v>0</v>
      </c>
      <c r="CK16" s="1197">
        <f t="shared" si="43"/>
        <v>0</v>
      </c>
      <c r="CL16" s="257"/>
      <c r="CM16" s="258"/>
      <c r="CN16" s="1196">
        <f t="shared" si="44"/>
        <v>0</v>
      </c>
      <c r="CO16" s="1197">
        <f t="shared" si="45"/>
        <v>0</v>
      </c>
      <c r="CP16" s="1635">
        <f t="shared" si="46"/>
        <v>0</v>
      </c>
      <c r="CQ16" s="269">
        <f t="shared" si="0"/>
        <v>0</v>
      </c>
      <c r="CR16" s="269">
        <f t="shared" si="0"/>
        <v>0</v>
      </c>
      <c r="CS16" s="1488">
        <f t="shared" si="0"/>
        <v>0</v>
      </c>
      <c r="CT16" s="257"/>
      <c r="CU16" s="258"/>
      <c r="CV16" s="1196">
        <f t="shared" si="47"/>
        <v>0</v>
      </c>
      <c r="CW16" s="1197">
        <f t="shared" si="48"/>
        <v>0</v>
      </c>
      <c r="CX16" s="1635">
        <f t="shared" si="49"/>
        <v>0</v>
      </c>
      <c r="CY16" s="269">
        <f t="shared" si="1"/>
        <v>0</v>
      </c>
      <c r="CZ16" s="269">
        <f t="shared" si="1"/>
        <v>0</v>
      </c>
      <c r="DA16" s="1488">
        <f t="shared" si="1"/>
        <v>0</v>
      </c>
    </row>
    <row r="17" spans="1:105" ht="16.5">
      <c r="A17" s="253" t="s">
        <v>89</v>
      </c>
      <c r="B17" s="254"/>
      <c r="C17" s="255"/>
      <c r="D17" s="1196">
        <f t="shared" si="2"/>
        <v>0</v>
      </c>
      <c r="E17" s="1197">
        <f t="shared" si="3"/>
        <v>0</v>
      </c>
      <c r="F17" s="257"/>
      <c r="G17" s="258"/>
      <c r="H17" s="1196">
        <f t="shared" si="4"/>
        <v>0</v>
      </c>
      <c r="I17" s="1197">
        <f t="shared" si="5"/>
        <v>0</v>
      </c>
      <c r="J17" s="257"/>
      <c r="K17" s="258"/>
      <c r="L17" s="1196">
        <f t="shared" si="6"/>
        <v>0</v>
      </c>
      <c r="M17" s="1197">
        <f t="shared" si="7"/>
        <v>0</v>
      </c>
      <c r="N17" s="257"/>
      <c r="O17" s="258"/>
      <c r="P17" s="1196">
        <f t="shared" si="8"/>
        <v>0</v>
      </c>
      <c r="Q17" s="1197">
        <f t="shared" si="9"/>
        <v>0</v>
      </c>
      <c r="R17" s="257">
        <v>38</v>
      </c>
      <c r="S17" s="258">
        <v>38</v>
      </c>
      <c r="T17" s="1196">
        <f t="shared" si="10"/>
        <v>38</v>
      </c>
      <c r="U17" s="1197">
        <f t="shared" si="11"/>
        <v>38</v>
      </c>
      <c r="V17" s="257"/>
      <c r="W17" s="258"/>
      <c r="X17" s="1196">
        <f t="shared" si="12"/>
        <v>0</v>
      </c>
      <c r="Y17" s="1197">
        <f t="shared" si="13"/>
        <v>0</v>
      </c>
      <c r="Z17" s="257"/>
      <c r="AA17" s="258"/>
      <c r="AB17" s="1196">
        <f t="shared" si="14"/>
        <v>0</v>
      </c>
      <c r="AC17" s="1197">
        <f t="shared" si="15"/>
        <v>0</v>
      </c>
      <c r="AD17" s="257"/>
      <c r="AE17" s="258"/>
      <c r="AF17" s="1196">
        <f t="shared" si="16"/>
        <v>0</v>
      </c>
      <c r="AG17" s="1197">
        <f t="shared" si="17"/>
        <v>0</v>
      </c>
      <c r="AH17" s="257"/>
      <c r="AI17" s="258"/>
      <c r="AJ17" s="1196">
        <f t="shared" si="18"/>
        <v>0</v>
      </c>
      <c r="AK17" s="1197">
        <f t="shared" si="19"/>
        <v>0</v>
      </c>
      <c r="AL17" s="257"/>
      <c r="AM17" s="258"/>
      <c r="AN17" s="1196">
        <f t="shared" si="20"/>
        <v>0</v>
      </c>
      <c r="AO17" s="1197">
        <f t="shared" si="21"/>
        <v>0</v>
      </c>
      <c r="AP17" s="257">
        <v>50</v>
      </c>
      <c r="AQ17" s="258">
        <v>125</v>
      </c>
      <c r="AR17" s="1196">
        <f t="shared" si="22"/>
        <v>50</v>
      </c>
      <c r="AS17" s="1197">
        <f t="shared" si="23"/>
        <v>125</v>
      </c>
      <c r="AT17" s="257"/>
      <c r="AU17" s="258"/>
      <c r="AV17" s="1196">
        <f t="shared" si="24"/>
        <v>0</v>
      </c>
      <c r="AW17" s="1197">
        <f t="shared" si="25"/>
        <v>0</v>
      </c>
      <c r="AX17" s="1032"/>
      <c r="AY17" s="260"/>
      <c r="AZ17" s="1196">
        <f t="shared" si="26"/>
        <v>0</v>
      </c>
      <c r="BA17" s="1197">
        <f t="shared" si="27"/>
        <v>0</v>
      </c>
      <c r="BB17" s="257"/>
      <c r="BC17" s="258"/>
      <c r="BD17" s="1196">
        <f t="shared" si="28"/>
        <v>0</v>
      </c>
      <c r="BE17" s="1197">
        <f t="shared" si="29"/>
        <v>0</v>
      </c>
      <c r="BF17" s="257"/>
      <c r="BG17" s="258"/>
      <c r="BH17" s="1196">
        <f t="shared" si="30"/>
        <v>0</v>
      </c>
      <c r="BI17" s="1197">
        <f t="shared" si="31"/>
        <v>0</v>
      </c>
      <c r="BJ17" s="257"/>
      <c r="BK17" s="258"/>
      <c r="BL17" s="1196">
        <f t="shared" si="32"/>
        <v>0</v>
      </c>
      <c r="BM17" s="1197">
        <f t="shared" si="33"/>
        <v>0</v>
      </c>
      <c r="BN17" s="257"/>
      <c r="BO17" s="258"/>
      <c r="BP17" s="1196">
        <f t="shared" si="34"/>
        <v>0</v>
      </c>
      <c r="BQ17" s="1196">
        <f t="shared" si="35"/>
        <v>0</v>
      </c>
      <c r="BR17" s="257"/>
      <c r="BS17" s="258"/>
      <c r="BT17" s="1196">
        <f t="shared" si="36"/>
        <v>0</v>
      </c>
      <c r="BU17" s="1197">
        <f t="shared" si="37"/>
        <v>0</v>
      </c>
      <c r="BV17" s="261"/>
      <c r="BW17" s="258"/>
      <c r="BX17" s="258"/>
      <c r="BY17" s="259"/>
      <c r="BZ17" s="1203"/>
      <c r="CA17" s="258"/>
      <c r="CB17" s="1201">
        <f t="shared" si="38"/>
        <v>0</v>
      </c>
      <c r="CC17" s="1202">
        <f t="shared" si="39"/>
        <v>0</v>
      </c>
      <c r="CD17" s="635"/>
      <c r="CE17" s="263"/>
      <c r="CF17" s="1196">
        <f t="shared" si="40"/>
        <v>0</v>
      </c>
      <c r="CG17" s="1197">
        <f t="shared" si="41"/>
        <v>0</v>
      </c>
      <c r="CH17" s="1034"/>
      <c r="CI17" s="266"/>
      <c r="CJ17" s="1196">
        <f t="shared" si="42"/>
        <v>0</v>
      </c>
      <c r="CK17" s="1197">
        <f t="shared" si="43"/>
        <v>0</v>
      </c>
      <c r="CL17" s="257"/>
      <c r="CM17" s="258"/>
      <c r="CN17" s="1196">
        <f t="shared" si="44"/>
        <v>0</v>
      </c>
      <c r="CO17" s="1197">
        <f t="shared" si="45"/>
        <v>0</v>
      </c>
      <c r="CP17" s="1635">
        <f t="shared" si="46"/>
        <v>88</v>
      </c>
      <c r="CQ17" s="269">
        <f t="shared" si="0"/>
        <v>163</v>
      </c>
      <c r="CR17" s="269">
        <f t="shared" si="0"/>
        <v>88</v>
      </c>
      <c r="CS17" s="1488">
        <f t="shared" si="0"/>
        <v>163</v>
      </c>
      <c r="CT17" s="257"/>
      <c r="CU17" s="258">
        <v>50</v>
      </c>
      <c r="CV17" s="1196">
        <f t="shared" si="47"/>
        <v>0</v>
      </c>
      <c r="CW17" s="1197">
        <f t="shared" si="48"/>
        <v>50</v>
      </c>
      <c r="CX17" s="1635">
        <f t="shared" si="49"/>
        <v>88</v>
      </c>
      <c r="CY17" s="269">
        <f t="shared" si="1"/>
        <v>213</v>
      </c>
      <c r="CZ17" s="269">
        <f t="shared" si="1"/>
        <v>88</v>
      </c>
      <c r="DA17" s="1488">
        <f t="shared" si="1"/>
        <v>213</v>
      </c>
    </row>
    <row r="18" spans="1:105" ht="16.5">
      <c r="A18" s="253" t="s">
        <v>90</v>
      </c>
      <c r="B18" s="254"/>
      <c r="C18" s="255"/>
      <c r="D18" s="1196">
        <f t="shared" si="2"/>
        <v>0</v>
      </c>
      <c r="E18" s="1197">
        <f t="shared" si="3"/>
        <v>0</v>
      </c>
      <c r="F18" s="257"/>
      <c r="G18" s="258"/>
      <c r="H18" s="1196">
        <f t="shared" si="4"/>
        <v>0</v>
      </c>
      <c r="I18" s="1197">
        <f t="shared" si="5"/>
        <v>0</v>
      </c>
      <c r="J18" s="257"/>
      <c r="K18" s="258"/>
      <c r="L18" s="1196">
        <f t="shared" si="6"/>
        <v>0</v>
      </c>
      <c r="M18" s="1197">
        <f t="shared" si="7"/>
        <v>0</v>
      </c>
      <c r="N18" s="257"/>
      <c r="O18" s="258"/>
      <c r="P18" s="1196">
        <f t="shared" si="8"/>
        <v>0</v>
      </c>
      <c r="Q18" s="1197">
        <f t="shared" si="9"/>
        <v>0</v>
      </c>
      <c r="R18" s="257"/>
      <c r="S18" s="258"/>
      <c r="T18" s="1196">
        <f t="shared" si="10"/>
        <v>0</v>
      </c>
      <c r="U18" s="1197">
        <f t="shared" si="11"/>
        <v>0</v>
      </c>
      <c r="V18" s="257"/>
      <c r="W18" s="258"/>
      <c r="X18" s="1196">
        <f t="shared" si="12"/>
        <v>0</v>
      </c>
      <c r="Y18" s="1197">
        <f t="shared" si="13"/>
        <v>0</v>
      </c>
      <c r="Z18" s="257"/>
      <c r="AA18" s="258"/>
      <c r="AB18" s="1196">
        <f t="shared" si="14"/>
        <v>0</v>
      </c>
      <c r="AC18" s="1197">
        <f t="shared" si="15"/>
        <v>0</v>
      </c>
      <c r="AD18" s="257"/>
      <c r="AE18" s="258"/>
      <c r="AF18" s="1196">
        <f t="shared" si="16"/>
        <v>0</v>
      </c>
      <c r="AG18" s="1197">
        <f t="shared" si="17"/>
        <v>0</v>
      </c>
      <c r="AH18" s="257"/>
      <c r="AI18" s="258"/>
      <c r="AJ18" s="1196">
        <f t="shared" si="18"/>
        <v>0</v>
      </c>
      <c r="AK18" s="1197">
        <f t="shared" si="19"/>
        <v>0</v>
      </c>
      <c r="AL18" s="257"/>
      <c r="AM18" s="258"/>
      <c r="AN18" s="1196">
        <f t="shared" si="20"/>
        <v>0</v>
      </c>
      <c r="AO18" s="1197">
        <f t="shared" si="21"/>
        <v>0</v>
      </c>
      <c r="AP18" s="257"/>
      <c r="AQ18" s="258"/>
      <c r="AR18" s="1196">
        <f t="shared" si="22"/>
        <v>0</v>
      </c>
      <c r="AS18" s="1197">
        <f t="shared" si="23"/>
        <v>0</v>
      </c>
      <c r="AT18" s="257"/>
      <c r="AU18" s="258"/>
      <c r="AV18" s="1196">
        <f t="shared" si="24"/>
        <v>0</v>
      </c>
      <c r="AW18" s="1197">
        <f t="shared" si="25"/>
        <v>0</v>
      </c>
      <c r="AX18" s="1032"/>
      <c r="AY18" s="260"/>
      <c r="AZ18" s="1196">
        <f t="shared" si="26"/>
        <v>0</v>
      </c>
      <c r="BA18" s="1197">
        <f t="shared" si="27"/>
        <v>0</v>
      </c>
      <c r="BB18" s="257"/>
      <c r="BC18" s="258"/>
      <c r="BD18" s="1196">
        <f t="shared" si="28"/>
        <v>0</v>
      </c>
      <c r="BE18" s="1197">
        <f t="shared" si="29"/>
        <v>0</v>
      </c>
      <c r="BF18" s="257"/>
      <c r="BG18" s="258"/>
      <c r="BH18" s="1196">
        <f t="shared" si="30"/>
        <v>0</v>
      </c>
      <c r="BI18" s="1197">
        <f t="shared" si="31"/>
        <v>0</v>
      </c>
      <c r="BJ18" s="257"/>
      <c r="BK18" s="258"/>
      <c r="BL18" s="1196">
        <f t="shared" si="32"/>
        <v>0</v>
      </c>
      <c r="BM18" s="1197">
        <f t="shared" si="33"/>
        <v>0</v>
      </c>
      <c r="BN18" s="257"/>
      <c r="BO18" s="258"/>
      <c r="BP18" s="1196">
        <f t="shared" si="34"/>
        <v>0</v>
      </c>
      <c r="BQ18" s="1196">
        <f t="shared" si="35"/>
        <v>0</v>
      </c>
      <c r="BR18" s="257"/>
      <c r="BS18" s="258"/>
      <c r="BT18" s="1196">
        <f t="shared" si="36"/>
        <v>0</v>
      </c>
      <c r="BU18" s="1197">
        <f t="shared" si="37"/>
        <v>0</v>
      </c>
      <c r="BV18" s="261"/>
      <c r="BW18" s="258"/>
      <c r="BX18" s="258"/>
      <c r="BY18" s="259"/>
      <c r="BZ18" s="1203"/>
      <c r="CA18" s="1204"/>
      <c r="CB18" s="1201">
        <f t="shared" si="38"/>
        <v>0</v>
      </c>
      <c r="CC18" s="1202">
        <f t="shared" si="39"/>
        <v>0</v>
      </c>
      <c r="CD18" s="635"/>
      <c r="CE18" s="263"/>
      <c r="CF18" s="1196">
        <f t="shared" si="40"/>
        <v>0</v>
      </c>
      <c r="CG18" s="1197">
        <f t="shared" si="41"/>
        <v>0</v>
      </c>
      <c r="CH18" s="1034"/>
      <c r="CI18" s="266"/>
      <c r="CJ18" s="1196">
        <f t="shared" si="42"/>
        <v>0</v>
      </c>
      <c r="CK18" s="1197">
        <f t="shared" si="43"/>
        <v>0</v>
      </c>
      <c r="CL18" s="257"/>
      <c r="CM18" s="258"/>
      <c r="CN18" s="1196">
        <f t="shared" si="44"/>
        <v>0</v>
      </c>
      <c r="CO18" s="1197">
        <f t="shared" si="45"/>
        <v>0</v>
      </c>
      <c r="CP18" s="1635">
        <f t="shared" si="46"/>
        <v>0</v>
      </c>
      <c r="CQ18" s="269">
        <f t="shared" si="0"/>
        <v>0</v>
      </c>
      <c r="CR18" s="269">
        <f t="shared" si="0"/>
        <v>0</v>
      </c>
      <c r="CS18" s="1488">
        <f t="shared" si="0"/>
        <v>0</v>
      </c>
      <c r="CT18" s="257"/>
      <c r="CU18" s="258"/>
      <c r="CV18" s="1196">
        <f t="shared" si="47"/>
        <v>0</v>
      </c>
      <c r="CW18" s="1197">
        <f t="shared" si="48"/>
        <v>0</v>
      </c>
      <c r="CX18" s="1635">
        <f t="shared" si="49"/>
        <v>0</v>
      </c>
      <c r="CY18" s="269">
        <f t="shared" si="1"/>
        <v>0</v>
      </c>
      <c r="CZ18" s="269">
        <f t="shared" si="1"/>
        <v>0</v>
      </c>
      <c r="DA18" s="1488">
        <f t="shared" si="1"/>
        <v>0</v>
      </c>
    </row>
    <row r="19" spans="1:105" ht="16.5">
      <c r="A19" s="253" t="s">
        <v>91</v>
      </c>
      <c r="B19" s="254">
        <v>180</v>
      </c>
      <c r="C19" s="255">
        <v>381</v>
      </c>
      <c r="D19" s="1196">
        <f t="shared" si="2"/>
        <v>180</v>
      </c>
      <c r="E19" s="1197">
        <f t="shared" si="3"/>
        <v>381</v>
      </c>
      <c r="F19" s="257"/>
      <c r="G19" s="258"/>
      <c r="H19" s="1196">
        <f t="shared" si="4"/>
        <v>0</v>
      </c>
      <c r="I19" s="1197">
        <f t="shared" si="5"/>
        <v>0</v>
      </c>
      <c r="J19" s="257"/>
      <c r="K19" s="258"/>
      <c r="L19" s="1196">
        <f t="shared" si="6"/>
        <v>0</v>
      </c>
      <c r="M19" s="1197">
        <f t="shared" si="7"/>
        <v>0</v>
      </c>
      <c r="N19" s="257"/>
      <c r="O19" s="258"/>
      <c r="P19" s="1196">
        <f t="shared" si="8"/>
        <v>0</v>
      </c>
      <c r="Q19" s="1197">
        <f t="shared" si="9"/>
        <v>0</v>
      </c>
      <c r="R19" s="257"/>
      <c r="S19" s="258"/>
      <c r="T19" s="1196">
        <f t="shared" si="10"/>
        <v>0</v>
      </c>
      <c r="U19" s="1197">
        <f t="shared" si="11"/>
        <v>0</v>
      </c>
      <c r="V19" s="257"/>
      <c r="W19" s="258"/>
      <c r="X19" s="1196">
        <f t="shared" si="12"/>
        <v>0</v>
      </c>
      <c r="Y19" s="1197">
        <f t="shared" si="13"/>
        <v>0</v>
      </c>
      <c r="Z19" s="257"/>
      <c r="AA19" s="258"/>
      <c r="AB19" s="1196">
        <f t="shared" si="14"/>
        <v>0</v>
      </c>
      <c r="AC19" s="1197">
        <f t="shared" si="15"/>
        <v>0</v>
      </c>
      <c r="AD19" s="257"/>
      <c r="AE19" s="258"/>
      <c r="AF19" s="1196">
        <f t="shared" si="16"/>
        <v>0</v>
      </c>
      <c r="AG19" s="1197">
        <f t="shared" si="17"/>
        <v>0</v>
      </c>
      <c r="AH19" s="257">
        <v>125</v>
      </c>
      <c r="AI19" s="258">
        <v>125</v>
      </c>
      <c r="AJ19" s="1196">
        <f t="shared" si="18"/>
        <v>125</v>
      </c>
      <c r="AK19" s="1197">
        <f t="shared" si="19"/>
        <v>125</v>
      </c>
      <c r="AL19" s="257"/>
      <c r="AM19" s="258"/>
      <c r="AN19" s="1196">
        <f t="shared" si="20"/>
        <v>0</v>
      </c>
      <c r="AO19" s="1197">
        <f t="shared" si="21"/>
        <v>0</v>
      </c>
      <c r="AP19" s="257"/>
      <c r="AQ19" s="258"/>
      <c r="AR19" s="1196">
        <f t="shared" si="22"/>
        <v>0</v>
      </c>
      <c r="AS19" s="1197">
        <f t="shared" si="23"/>
        <v>0</v>
      </c>
      <c r="AT19" s="257"/>
      <c r="AU19" s="258"/>
      <c r="AV19" s="1196">
        <f t="shared" si="24"/>
        <v>0</v>
      </c>
      <c r="AW19" s="1197">
        <f t="shared" si="25"/>
        <v>0</v>
      </c>
      <c r="AX19" s="1032"/>
      <c r="AY19" s="260"/>
      <c r="AZ19" s="1196">
        <f t="shared" si="26"/>
        <v>0</v>
      </c>
      <c r="BA19" s="1197">
        <f t="shared" si="27"/>
        <v>0</v>
      </c>
      <c r="BB19" s="257"/>
      <c r="BC19" s="258"/>
      <c r="BD19" s="1196">
        <f t="shared" si="28"/>
        <v>0</v>
      </c>
      <c r="BE19" s="1197">
        <f t="shared" si="29"/>
        <v>0</v>
      </c>
      <c r="BF19" s="257">
        <v>899</v>
      </c>
      <c r="BG19" s="258">
        <v>261</v>
      </c>
      <c r="BH19" s="1196">
        <f t="shared" si="30"/>
        <v>899</v>
      </c>
      <c r="BI19" s="1197">
        <f t="shared" si="31"/>
        <v>261</v>
      </c>
      <c r="BJ19" s="257"/>
      <c r="BK19" s="258"/>
      <c r="BL19" s="1196">
        <f t="shared" si="32"/>
        <v>0</v>
      </c>
      <c r="BM19" s="1197">
        <f t="shared" si="33"/>
        <v>0</v>
      </c>
      <c r="BN19" s="257"/>
      <c r="BO19" s="258"/>
      <c r="BP19" s="1196">
        <f t="shared" si="34"/>
        <v>0</v>
      </c>
      <c r="BQ19" s="1196">
        <f t="shared" si="35"/>
        <v>0</v>
      </c>
      <c r="BR19" s="257"/>
      <c r="BS19" s="258"/>
      <c r="BT19" s="1196">
        <f t="shared" si="36"/>
        <v>0</v>
      </c>
      <c r="BU19" s="1197">
        <f t="shared" si="37"/>
        <v>0</v>
      </c>
      <c r="BV19" s="261"/>
      <c r="BW19" s="258"/>
      <c r="BX19" s="258"/>
      <c r="BY19" s="259"/>
      <c r="BZ19" s="1203"/>
      <c r="CA19" s="1205"/>
      <c r="CB19" s="1201">
        <f t="shared" si="38"/>
        <v>0</v>
      </c>
      <c r="CC19" s="1202">
        <f t="shared" si="39"/>
        <v>0</v>
      </c>
      <c r="CD19" s="635"/>
      <c r="CE19" s="263"/>
      <c r="CF19" s="1196">
        <f t="shared" si="40"/>
        <v>0</v>
      </c>
      <c r="CG19" s="1197">
        <f t="shared" si="41"/>
        <v>0</v>
      </c>
      <c r="CH19" s="1034"/>
      <c r="CI19" s="266"/>
      <c r="CJ19" s="1196">
        <f t="shared" si="42"/>
        <v>0</v>
      </c>
      <c r="CK19" s="1197">
        <f t="shared" si="43"/>
        <v>0</v>
      </c>
      <c r="CL19" s="257"/>
      <c r="CM19" s="258"/>
      <c r="CN19" s="1196">
        <f t="shared" si="44"/>
        <v>0</v>
      </c>
      <c r="CO19" s="1197">
        <f t="shared" si="45"/>
        <v>0</v>
      </c>
      <c r="CP19" s="1635">
        <f t="shared" si="46"/>
        <v>1204</v>
      </c>
      <c r="CQ19" s="269">
        <f t="shared" si="0"/>
        <v>767</v>
      </c>
      <c r="CR19" s="269">
        <f t="shared" si="0"/>
        <v>1204</v>
      </c>
      <c r="CS19" s="1488">
        <f t="shared" si="0"/>
        <v>767</v>
      </c>
      <c r="CT19" s="257"/>
      <c r="CU19" s="258"/>
      <c r="CV19" s="1196">
        <f t="shared" si="47"/>
        <v>0</v>
      </c>
      <c r="CW19" s="1197">
        <f t="shared" si="48"/>
        <v>0</v>
      </c>
      <c r="CX19" s="1635">
        <f t="shared" si="49"/>
        <v>1204</v>
      </c>
      <c r="CY19" s="269">
        <f t="shared" si="1"/>
        <v>767</v>
      </c>
      <c r="CZ19" s="269">
        <f t="shared" si="1"/>
        <v>1204</v>
      </c>
      <c r="DA19" s="1488">
        <f t="shared" si="1"/>
        <v>767</v>
      </c>
    </row>
    <row r="20" spans="1:105" ht="16.5">
      <c r="A20" s="253" t="s">
        <v>92</v>
      </c>
      <c r="B20" s="254"/>
      <c r="C20" s="255"/>
      <c r="D20" s="1196">
        <f t="shared" si="2"/>
        <v>0</v>
      </c>
      <c r="E20" s="1197">
        <f t="shared" si="3"/>
        <v>0</v>
      </c>
      <c r="F20" s="257">
        <v>38</v>
      </c>
      <c r="G20" s="258"/>
      <c r="H20" s="1196">
        <f t="shared" si="4"/>
        <v>38</v>
      </c>
      <c r="I20" s="1197">
        <f t="shared" si="5"/>
        <v>0</v>
      </c>
      <c r="J20" s="257">
        <v>125</v>
      </c>
      <c r="K20" s="258">
        <v>260</v>
      </c>
      <c r="L20" s="1196">
        <f t="shared" si="6"/>
        <v>125</v>
      </c>
      <c r="M20" s="1197">
        <f t="shared" si="7"/>
        <v>260</v>
      </c>
      <c r="N20" s="257">
        <v>201</v>
      </c>
      <c r="O20" s="258"/>
      <c r="P20" s="1196">
        <f t="shared" si="8"/>
        <v>201</v>
      </c>
      <c r="Q20" s="1197">
        <f t="shared" si="9"/>
        <v>0</v>
      </c>
      <c r="R20" s="257">
        <v>127</v>
      </c>
      <c r="S20" s="258">
        <v>42</v>
      </c>
      <c r="T20" s="1196">
        <f t="shared" si="10"/>
        <v>127</v>
      </c>
      <c r="U20" s="1197">
        <f t="shared" si="11"/>
        <v>42</v>
      </c>
      <c r="V20" s="257">
        <v>442</v>
      </c>
      <c r="W20" s="258">
        <v>439</v>
      </c>
      <c r="X20" s="1196">
        <f t="shared" si="12"/>
        <v>442</v>
      </c>
      <c r="Y20" s="1197">
        <f t="shared" si="13"/>
        <v>439</v>
      </c>
      <c r="Z20" s="257">
        <v>639</v>
      </c>
      <c r="AA20" s="258">
        <v>470</v>
      </c>
      <c r="AB20" s="1196">
        <f t="shared" si="14"/>
        <v>639</v>
      </c>
      <c r="AC20" s="1197">
        <f t="shared" si="15"/>
        <v>470</v>
      </c>
      <c r="AD20" s="257">
        <v>125</v>
      </c>
      <c r="AE20" s="258"/>
      <c r="AF20" s="1196">
        <f t="shared" si="16"/>
        <v>125</v>
      </c>
      <c r="AG20" s="1197">
        <f t="shared" si="17"/>
        <v>0</v>
      </c>
      <c r="AH20" s="257">
        <v>38</v>
      </c>
      <c r="AI20" s="258">
        <v>38</v>
      </c>
      <c r="AJ20" s="1196">
        <f t="shared" si="18"/>
        <v>38</v>
      </c>
      <c r="AK20" s="1197">
        <f t="shared" si="19"/>
        <v>38</v>
      </c>
      <c r="AL20" s="257">
        <v>6</v>
      </c>
      <c r="AM20" s="258">
        <v>195</v>
      </c>
      <c r="AN20" s="1196">
        <f t="shared" si="20"/>
        <v>6</v>
      </c>
      <c r="AO20" s="1197">
        <f t="shared" si="21"/>
        <v>195</v>
      </c>
      <c r="AP20" s="257">
        <v>1422</v>
      </c>
      <c r="AQ20" s="258">
        <v>1253</v>
      </c>
      <c r="AR20" s="1196">
        <f t="shared" si="22"/>
        <v>1422</v>
      </c>
      <c r="AS20" s="1197">
        <f t="shared" si="23"/>
        <v>1253</v>
      </c>
      <c r="AT20" s="257"/>
      <c r="AU20" s="258"/>
      <c r="AV20" s="1196">
        <f t="shared" si="24"/>
        <v>0</v>
      </c>
      <c r="AW20" s="1197">
        <f t="shared" si="25"/>
        <v>0</v>
      </c>
      <c r="AX20" s="1032">
        <v>75</v>
      </c>
      <c r="AY20" s="260">
        <v>75</v>
      </c>
      <c r="AZ20" s="1196">
        <f t="shared" si="26"/>
        <v>75</v>
      </c>
      <c r="BA20" s="1197">
        <f t="shared" si="27"/>
        <v>75</v>
      </c>
      <c r="BB20" s="257">
        <v>25</v>
      </c>
      <c r="BC20" s="258">
        <v>10</v>
      </c>
      <c r="BD20" s="1196">
        <f t="shared" si="28"/>
        <v>25</v>
      </c>
      <c r="BE20" s="1197">
        <f t="shared" si="29"/>
        <v>10</v>
      </c>
      <c r="BF20" s="704"/>
      <c r="BG20" s="705"/>
      <c r="BH20" s="1196">
        <f t="shared" si="30"/>
        <v>0</v>
      </c>
      <c r="BI20" s="1197">
        <f t="shared" si="31"/>
        <v>0</v>
      </c>
      <c r="BJ20" s="257">
        <v>1126</v>
      </c>
      <c r="BK20" s="258">
        <v>700</v>
      </c>
      <c r="BL20" s="1196">
        <f t="shared" si="32"/>
        <v>1126</v>
      </c>
      <c r="BM20" s="1197">
        <f t="shared" si="33"/>
        <v>700</v>
      </c>
      <c r="BN20" s="270">
        <v>239</v>
      </c>
      <c r="BO20" s="270">
        <v>49</v>
      </c>
      <c r="BP20" s="1196">
        <f t="shared" si="34"/>
        <v>239</v>
      </c>
      <c r="BQ20" s="1196">
        <f t="shared" si="35"/>
        <v>49</v>
      </c>
      <c r="BR20" s="257">
        <v>1830</v>
      </c>
      <c r="BS20" s="258">
        <v>400</v>
      </c>
      <c r="BT20" s="1196">
        <f t="shared" si="36"/>
        <v>1830</v>
      </c>
      <c r="BU20" s="1197">
        <f t="shared" si="37"/>
        <v>400</v>
      </c>
      <c r="BV20" s="261"/>
      <c r="BW20" s="258"/>
      <c r="BX20" s="258"/>
      <c r="BY20" s="259"/>
      <c r="BZ20" s="1203">
        <v>681</v>
      </c>
      <c r="CA20" s="1204">
        <v>771</v>
      </c>
      <c r="CB20" s="1201">
        <f t="shared" si="38"/>
        <v>681</v>
      </c>
      <c r="CC20" s="1202">
        <f t="shared" si="39"/>
        <v>771</v>
      </c>
      <c r="CD20" s="635"/>
      <c r="CE20" s="263"/>
      <c r="CF20" s="1196">
        <f t="shared" si="40"/>
        <v>0</v>
      </c>
      <c r="CG20" s="1197">
        <f t="shared" si="41"/>
        <v>0</v>
      </c>
      <c r="CH20" s="1034">
        <v>963</v>
      </c>
      <c r="CI20" s="266">
        <v>958</v>
      </c>
      <c r="CJ20" s="1196">
        <f t="shared" si="42"/>
        <v>963</v>
      </c>
      <c r="CK20" s="1197">
        <f t="shared" si="43"/>
        <v>958</v>
      </c>
      <c r="CL20" s="257">
        <v>158</v>
      </c>
      <c r="CM20" s="258">
        <v>128</v>
      </c>
      <c r="CN20" s="1196">
        <f t="shared" si="44"/>
        <v>158</v>
      </c>
      <c r="CO20" s="1197">
        <f t="shared" si="45"/>
        <v>128</v>
      </c>
      <c r="CP20" s="1636">
        <f t="shared" si="46"/>
        <v>8260</v>
      </c>
      <c r="CQ20" s="254">
        <f t="shared" si="0"/>
        <v>5788</v>
      </c>
      <c r="CR20" s="254">
        <f t="shared" si="0"/>
        <v>8260</v>
      </c>
      <c r="CS20" s="1175">
        <f t="shared" si="0"/>
        <v>5788</v>
      </c>
      <c r="CT20" s="257"/>
      <c r="CU20" s="258"/>
      <c r="CV20" s="1196">
        <f t="shared" si="47"/>
        <v>0</v>
      </c>
      <c r="CW20" s="1197">
        <f t="shared" si="48"/>
        <v>0</v>
      </c>
      <c r="CX20" s="1636">
        <f t="shared" si="49"/>
        <v>8260</v>
      </c>
      <c r="CY20" s="254">
        <f t="shared" si="1"/>
        <v>5788</v>
      </c>
      <c r="CZ20" s="254">
        <f t="shared" si="1"/>
        <v>8260</v>
      </c>
      <c r="DA20" s="1175">
        <f t="shared" si="1"/>
        <v>5788</v>
      </c>
    </row>
    <row r="21" spans="1:105" ht="17.25">
      <c r="A21" s="253" t="s">
        <v>93</v>
      </c>
      <c r="B21" s="254">
        <v>189</v>
      </c>
      <c r="C21" s="255">
        <v>180</v>
      </c>
      <c r="D21" s="1196">
        <f t="shared" si="2"/>
        <v>189</v>
      </c>
      <c r="E21" s="1197">
        <f t="shared" si="3"/>
        <v>180</v>
      </c>
      <c r="F21" s="257">
        <v>22</v>
      </c>
      <c r="G21" s="258"/>
      <c r="H21" s="1196">
        <f t="shared" si="4"/>
        <v>22</v>
      </c>
      <c r="I21" s="1197">
        <f t="shared" si="5"/>
        <v>0</v>
      </c>
      <c r="J21" s="257"/>
      <c r="K21" s="258"/>
      <c r="L21" s="1196">
        <f t="shared" si="6"/>
        <v>0</v>
      </c>
      <c r="M21" s="1197">
        <f t="shared" si="7"/>
        <v>0</v>
      </c>
      <c r="N21" s="257">
        <v>314</v>
      </c>
      <c r="O21" s="258">
        <v>319</v>
      </c>
      <c r="P21" s="1196">
        <f t="shared" si="8"/>
        <v>314</v>
      </c>
      <c r="Q21" s="1197">
        <f t="shared" si="9"/>
        <v>319</v>
      </c>
      <c r="R21" s="257"/>
      <c r="S21" s="258"/>
      <c r="T21" s="1196">
        <f t="shared" si="10"/>
        <v>0</v>
      </c>
      <c r="U21" s="1197">
        <f t="shared" si="11"/>
        <v>0</v>
      </c>
      <c r="V21" s="257"/>
      <c r="W21" s="258"/>
      <c r="X21" s="1196">
        <f t="shared" si="12"/>
        <v>0</v>
      </c>
      <c r="Y21" s="1197">
        <f t="shared" si="13"/>
        <v>0</v>
      </c>
      <c r="Z21" s="257">
        <v>68</v>
      </c>
      <c r="AA21" s="258">
        <v>151</v>
      </c>
      <c r="AB21" s="1196">
        <f t="shared" si="14"/>
        <v>68</v>
      </c>
      <c r="AC21" s="1197">
        <f t="shared" si="15"/>
        <v>151</v>
      </c>
      <c r="AD21" s="257">
        <v>38</v>
      </c>
      <c r="AE21" s="258">
        <v>50</v>
      </c>
      <c r="AF21" s="1196">
        <f t="shared" si="16"/>
        <v>38</v>
      </c>
      <c r="AG21" s="1197">
        <f t="shared" si="17"/>
        <v>50</v>
      </c>
      <c r="AH21" s="257">
        <v>150</v>
      </c>
      <c r="AI21" s="258">
        <v>100</v>
      </c>
      <c r="AJ21" s="1196">
        <f t="shared" si="18"/>
        <v>150</v>
      </c>
      <c r="AK21" s="1197">
        <f t="shared" si="19"/>
        <v>100</v>
      </c>
      <c r="AL21" s="257"/>
      <c r="AM21" s="258"/>
      <c r="AN21" s="1196">
        <f t="shared" si="20"/>
        <v>0</v>
      </c>
      <c r="AO21" s="1197">
        <f t="shared" si="21"/>
        <v>0</v>
      </c>
      <c r="AP21" s="257"/>
      <c r="AQ21" s="258"/>
      <c r="AR21" s="1196">
        <f t="shared" si="22"/>
        <v>0</v>
      </c>
      <c r="AS21" s="1197">
        <f t="shared" si="23"/>
        <v>0</v>
      </c>
      <c r="AT21" s="257"/>
      <c r="AU21" s="258"/>
      <c r="AV21" s="1196">
        <f t="shared" si="24"/>
        <v>0</v>
      </c>
      <c r="AW21" s="1197">
        <f t="shared" si="25"/>
        <v>0</v>
      </c>
      <c r="AX21" s="1032"/>
      <c r="AY21" s="260"/>
      <c r="AZ21" s="1196">
        <f t="shared" si="26"/>
        <v>0</v>
      </c>
      <c r="BA21" s="1197">
        <f t="shared" si="27"/>
        <v>0</v>
      </c>
      <c r="BB21" s="257"/>
      <c r="BC21" s="258"/>
      <c r="BD21" s="1196">
        <f t="shared" si="28"/>
        <v>0</v>
      </c>
      <c r="BE21" s="1197">
        <f t="shared" si="29"/>
        <v>0</v>
      </c>
      <c r="BF21" s="257"/>
      <c r="BG21" s="258"/>
      <c r="BH21" s="1196">
        <f t="shared" si="30"/>
        <v>0</v>
      </c>
      <c r="BI21" s="1197">
        <f t="shared" si="31"/>
        <v>0</v>
      </c>
      <c r="BJ21" s="257">
        <v>337</v>
      </c>
      <c r="BK21" s="258">
        <v>500</v>
      </c>
      <c r="BL21" s="1196">
        <f t="shared" si="32"/>
        <v>337</v>
      </c>
      <c r="BM21" s="1197">
        <f t="shared" si="33"/>
        <v>500</v>
      </c>
      <c r="BN21" s="273">
        <v>215</v>
      </c>
      <c r="BO21" s="274">
        <v>149</v>
      </c>
      <c r="BP21" s="1196">
        <f t="shared" si="34"/>
        <v>215</v>
      </c>
      <c r="BQ21" s="1196">
        <f t="shared" si="35"/>
        <v>149</v>
      </c>
      <c r="BR21" s="257"/>
      <c r="BS21" s="258"/>
      <c r="BT21" s="1196">
        <f t="shared" si="36"/>
        <v>0</v>
      </c>
      <c r="BU21" s="1197">
        <f t="shared" si="37"/>
        <v>0</v>
      </c>
      <c r="BV21" s="261"/>
      <c r="BW21" s="258"/>
      <c r="BX21" s="258"/>
      <c r="BY21" s="259"/>
      <c r="BZ21" s="1203">
        <v>281</v>
      </c>
      <c r="CA21" s="258"/>
      <c r="CB21" s="1201">
        <f t="shared" si="38"/>
        <v>281</v>
      </c>
      <c r="CC21" s="1202">
        <f t="shared" si="39"/>
        <v>0</v>
      </c>
      <c r="CD21" s="635"/>
      <c r="CE21" s="263"/>
      <c r="CF21" s="1196">
        <f t="shared" si="40"/>
        <v>0</v>
      </c>
      <c r="CG21" s="1197">
        <f t="shared" si="41"/>
        <v>0</v>
      </c>
      <c r="CH21" s="1034"/>
      <c r="CI21" s="266"/>
      <c r="CJ21" s="1196">
        <f t="shared" si="42"/>
        <v>0</v>
      </c>
      <c r="CK21" s="1197">
        <f t="shared" si="43"/>
        <v>0</v>
      </c>
      <c r="CL21" s="257">
        <v>38</v>
      </c>
      <c r="CM21" s="258">
        <v>150</v>
      </c>
      <c r="CN21" s="1196">
        <f t="shared" si="44"/>
        <v>38</v>
      </c>
      <c r="CO21" s="1197">
        <f t="shared" si="45"/>
        <v>150</v>
      </c>
      <c r="CP21" s="1635">
        <f t="shared" si="46"/>
        <v>1652</v>
      </c>
      <c r="CQ21" s="269">
        <f t="shared" si="46"/>
        <v>1599</v>
      </c>
      <c r="CR21" s="269">
        <f t="shared" si="46"/>
        <v>1652</v>
      </c>
      <c r="CS21" s="1488">
        <f t="shared" si="46"/>
        <v>1599</v>
      </c>
      <c r="CT21" s="1034"/>
      <c r="CU21" s="266"/>
      <c r="CV21" s="1196">
        <f t="shared" si="47"/>
        <v>0</v>
      </c>
      <c r="CW21" s="1197">
        <f t="shared" si="48"/>
        <v>0</v>
      </c>
      <c r="CX21" s="1635">
        <f t="shared" si="49"/>
        <v>1652</v>
      </c>
      <c r="CY21" s="269">
        <f t="shared" si="49"/>
        <v>1599</v>
      </c>
      <c r="CZ21" s="269">
        <f t="shared" si="49"/>
        <v>1652</v>
      </c>
      <c r="DA21" s="1488">
        <f t="shared" si="49"/>
        <v>1599</v>
      </c>
    </row>
    <row r="22" spans="1:105" ht="16.5">
      <c r="A22" s="253" t="s">
        <v>94</v>
      </c>
      <c r="B22" s="254">
        <v>345741</v>
      </c>
      <c r="C22" s="255">
        <v>194563</v>
      </c>
      <c r="D22" s="1196">
        <f t="shared" si="2"/>
        <v>345741</v>
      </c>
      <c r="E22" s="1197">
        <f t="shared" si="3"/>
        <v>194563</v>
      </c>
      <c r="F22" s="257">
        <v>85542</v>
      </c>
      <c r="G22" s="258">
        <v>107038</v>
      </c>
      <c r="H22" s="1196">
        <f t="shared" si="4"/>
        <v>85542</v>
      </c>
      <c r="I22" s="1197">
        <f t="shared" si="5"/>
        <v>107038</v>
      </c>
      <c r="J22" s="257">
        <v>31964</v>
      </c>
      <c r="K22" s="258">
        <v>74190</v>
      </c>
      <c r="L22" s="1196">
        <f t="shared" si="6"/>
        <v>31964</v>
      </c>
      <c r="M22" s="1197">
        <f t="shared" si="7"/>
        <v>74190</v>
      </c>
      <c r="N22" s="257">
        <v>278021</v>
      </c>
      <c r="O22" s="258">
        <v>80285</v>
      </c>
      <c r="P22" s="1196">
        <f t="shared" si="8"/>
        <v>278021</v>
      </c>
      <c r="Q22" s="1197">
        <f t="shared" si="9"/>
        <v>80285</v>
      </c>
      <c r="R22" s="257">
        <v>741588</v>
      </c>
      <c r="S22" s="258">
        <v>501386</v>
      </c>
      <c r="T22" s="1196">
        <f t="shared" si="10"/>
        <v>741588</v>
      </c>
      <c r="U22" s="1197">
        <f t="shared" si="11"/>
        <v>501386</v>
      </c>
      <c r="V22" s="257">
        <v>41493</v>
      </c>
      <c r="W22" s="258">
        <v>37991</v>
      </c>
      <c r="X22" s="1196">
        <f t="shared" si="12"/>
        <v>41493</v>
      </c>
      <c r="Y22" s="1197">
        <f t="shared" si="13"/>
        <v>37991</v>
      </c>
      <c r="Z22" s="257">
        <v>14272</v>
      </c>
      <c r="AA22" s="258">
        <v>320314</v>
      </c>
      <c r="AB22" s="1196">
        <f t="shared" si="14"/>
        <v>14272</v>
      </c>
      <c r="AC22" s="1197">
        <f t="shared" si="15"/>
        <v>320314</v>
      </c>
      <c r="AD22" s="257">
        <v>54383</v>
      </c>
      <c r="AE22" s="258">
        <v>88130</v>
      </c>
      <c r="AF22" s="1196">
        <f t="shared" si="16"/>
        <v>54383</v>
      </c>
      <c r="AG22" s="1197">
        <f t="shared" si="17"/>
        <v>88130</v>
      </c>
      <c r="AH22" s="257">
        <v>64606</v>
      </c>
      <c r="AI22" s="258">
        <v>79330</v>
      </c>
      <c r="AJ22" s="1196">
        <f t="shared" si="18"/>
        <v>64606</v>
      </c>
      <c r="AK22" s="1197">
        <f t="shared" si="19"/>
        <v>79330</v>
      </c>
      <c r="AL22" s="257">
        <v>137153</v>
      </c>
      <c r="AM22" s="258">
        <v>360617</v>
      </c>
      <c r="AN22" s="1196">
        <f t="shared" si="20"/>
        <v>137153</v>
      </c>
      <c r="AO22" s="1197">
        <f t="shared" si="21"/>
        <v>360617</v>
      </c>
      <c r="AP22" s="257">
        <v>1990363</v>
      </c>
      <c r="AQ22" s="258">
        <v>1484625</v>
      </c>
      <c r="AR22" s="1196">
        <f t="shared" si="22"/>
        <v>1990363</v>
      </c>
      <c r="AS22" s="1197">
        <f t="shared" si="23"/>
        <v>1484625</v>
      </c>
      <c r="AT22" s="257">
        <v>1410145</v>
      </c>
      <c r="AU22" s="258">
        <v>1119246</v>
      </c>
      <c r="AV22" s="1196">
        <f t="shared" si="24"/>
        <v>1410145</v>
      </c>
      <c r="AW22" s="1197">
        <f t="shared" si="25"/>
        <v>1119246</v>
      </c>
      <c r="AX22" s="1032">
        <v>49202</v>
      </c>
      <c r="AY22" s="260">
        <v>82226</v>
      </c>
      <c r="AZ22" s="1196">
        <f t="shared" si="26"/>
        <v>49202</v>
      </c>
      <c r="BA22" s="1197">
        <f t="shared" si="27"/>
        <v>82226</v>
      </c>
      <c r="BB22" s="257">
        <v>155130</v>
      </c>
      <c r="BC22" s="258">
        <v>35224</v>
      </c>
      <c r="BD22" s="1196">
        <f t="shared" si="28"/>
        <v>155130</v>
      </c>
      <c r="BE22" s="1197">
        <f t="shared" si="29"/>
        <v>35224</v>
      </c>
      <c r="BF22" s="257">
        <v>426170</v>
      </c>
      <c r="BG22" s="258">
        <v>186316</v>
      </c>
      <c r="BH22" s="1196">
        <f t="shared" si="30"/>
        <v>426170</v>
      </c>
      <c r="BI22" s="1197">
        <f t="shared" si="31"/>
        <v>186316</v>
      </c>
      <c r="BJ22" s="257">
        <v>191342</v>
      </c>
      <c r="BK22" s="258">
        <v>279556</v>
      </c>
      <c r="BL22" s="1196">
        <f t="shared" si="32"/>
        <v>191342</v>
      </c>
      <c r="BM22" s="1197">
        <f t="shared" si="33"/>
        <v>279556</v>
      </c>
      <c r="BN22" s="257">
        <v>49400</v>
      </c>
      <c r="BO22" s="258">
        <v>60757</v>
      </c>
      <c r="BP22" s="1196">
        <f t="shared" si="34"/>
        <v>49400</v>
      </c>
      <c r="BQ22" s="1196">
        <f t="shared" si="35"/>
        <v>60757</v>
      </c>
      <c r="BR22" s="257">
        <v>245704</v>
      </c>
      <c r="BS22" s="258">
        <v>177512</v>
      </c>
      <c r="BT22" s="1196">
        <f t="shared" si="36"/>
        <v>245704</v>
      </c>
      <c r="BU22" s="1197">
        <f t="shared" si="37"/>
        <v>177512</v>
      </c>
      <c r="BV22" s="261"/>
      <c r="BW22" s="258"/>
      <c r="BX22" s="258"/>
      <c r="BY22" s="259"/>
      <c r="BZ22" s="1203">
        <v>72182</v>
      </c>
      <c r="CA22" s="1204">
        <v>41197</v>
      </c>
      <c r="CB22" s="1201">
        <f t="shared" si="38"/>
        <v>72182</v>
      </c>
      <c r="CC22" s="1202">
        <f t="shared" si="39"/>
        <v>41197</v>
      </c>
      <c r="CD22" s="635">
        <v>47467</v>
      </c>
      <c r="CE22" s="263">
        <v>14892</v>
      </c>
      <c r="CF22" s="1196">
        <f t="shared" si="40"/>
        <v>47467</v>
      </c>
      <c r="CG22" s="1197">
        <f t="shared" si="41"/>
        <v>14892</v>
      </c>
      <c r="CH22" s="1034">
        <v>56118</v>
      </c>
      <c r="CI22" s="266">
        <v>36725</v>
      </c>
      <c r="CJ22" s="1196">
        <f t="shared" si="42"/>
        <v>56118</v>
      </c>
      <c r="CK22" s="1197">
        <f t="shared" si="43"/>
        <v>36725</v>
      </c>
      <c r="CL22" s="257">
        <v>802786</v>
      </c>
      <c r="CM22" s="258">
        <v>101527</v>
      </c>
      <c r="CN22" s="1196">
        <f t="shared" si="44"/>
        <v>802786</v>
      </c>
      <c r="CO22" s="1197">
        <f t="shared" si="45"/>
        <v>101527</v>
      </c>
      <c r="CP22" s="1635">
        <f t="shared" si="46"/>
        <v>7290772</v>
      </c>
      <c r="CQ22" s="269">
        <f t="shared" si="46"/>
        <v>5463647</v>
      </c>
      <c r="CR22" s="269">
        <f t="shared" si="46"/>
        <v>7290772</v>
      </c>
      <c r="CS22" s="1488">
        <f t="shared" si="46"/>
        <v>5463647</v>
      </c>
      <c r="CT22" s="1034">
        <v>392001</v>
      </c>
      <c r="CU22" s="266">
        <v>575395</v>
      </c>
      <c r="CV22" s="1196">
        <f t="shared" si="47"/>
        <v>392001</v>
      </c>
      <c r="CW22" s="1197">
        <f t="shared" si="48"/>
        <v>575395</v>
      </c>
      <c r="CX22" s="1635">
        <f t="shared" si="49"/>
        <v>7682773</v>
      </c>
      <c r="CY22" s="269">
        <f t="shared" si="49"/>
        <v>6039042</v>
      </c>
      <c r="CZ22" s="269">
        <f t="shared" si="49"/>
        <v>7682773</v>
      </c>
      <c r="DA22" s="1488">
        <f t="shared" si="49"/>
        <v>6039042</v>
      </c>
    </row>
    <row r="23" spans="1:105" ht="16.5">
      <c r="A23" s="253" t="s">
        <v>95</v>
      </c>
      <c r="B23" s="254">
        <v>20246</v>
      </c>
      <c r="C23" s="255">
        <v>20698</v>
      </c>
      <c r="D23" s="1196">
        <f t="shared" si="2"/>
        <v>20246</v>
      </c>
      <c r="E23" s="1197">
        <f t="shared" si="3"/>
        <v>20698</v>
      </c>
      <c r="F23" s="257">
        <v>9314</v>
      </c>
      <c r="G23" s="258">
        <v>7715</v>
      </c>
      <c r="H23" s="1196">
        <f t="shared" si="4"/>
        <v>9314</v>
      </c>
      <c r="I23" s="1197">
        <f t="shared" si="5"/>
        <v>7715</v>
      </c>
      <c r="J23" s="257">
        <v>5653</v>
      </c>
      <c r="K23" s="258">
        <v>7281</v>
      </c>
      <c r="L23" s="1196">
        <f t="shared" si="6"/>
        <v>5653</v>
      </c>
      <c r="M23" s="1197">
        <f t="shared" si="7"/>
        <v>7281</v>
      </c>
      <c r="N23" s="257">
        <v>19022</v>
      </c>
      <c r="O23" s="258">
        <v>14187</v>
      </c>
      <c r="P23" s="1196">
        <f t="shared" si="8"/>
        <v>19022</v>
      </c>
      <c r="Q23" s="1197">
        <f t="shared" si="9"/>
        <v>14187</v>
      </c>
      <c r="R23" s="257">
        <v>9470</v>
      </c>
      <c r="S23" s="258">
        <v>6140</v>
      </c>
      <c r="T23" s="1196">
        <f t="shared" si="10"/>
        <v>9470</v>
      </c>
      <c r="U23" s="1197">
        <f t="shared" si="11"/>
        <v>6140</v>
      </c>
      <c r="V23" s="257">
        <v>11587</v>
      </c>
      <c r="W23" s="258">
        <v>10954</v>
      </c>
      <c r="X23" s="1196">
        <f t="shared" si="12"/>
        <v>11587</v>
      </c>
      <c r="Y23" s="1197">
        <f t="shared" si="13"/>
        <v>10954</v>
      </c>
      <c r="Z23" s="257">
        <v>4239</v>
      </c>
      <c r="AA23" s="258">
        <v>4070</v>
      </c>
      <c r="AB23" s="1196">
        <f t="shared" si="14"/>
        <v>4239</v>
      </c>
      <c r="AC23" s="1197">
        <f t="shared" si="15"/>
        <v>4070</v>
      </c>
      <c r="AD23" s="257">
        <v>4961</v>
      </c>
      <c r="AE23" s="258">
        <v>3040</v>
      </c>
      <c r="AF23" s="1196">
        <f t="shared" si="16"/>
        <v>4961</v>
      </c>
      <c r="AG23" s="1197">
        <f t="shared" si="17"/>
        <v>3040</v>
      </c>
      <c r="AH23" s="257">
        <v>15217</v>
      </c>
      <c r="AI23" s="258">
        <v>15608</v>
      </c>
      <c r="AJ23" s="1196">
        <f t="shared" si="18"/>
        <v>15217</v>
      </c>
      <c r="AK23" s="1197">
        <f t="shared" si="19"/>
        <v>15608</v>
      </c>
      <c r="AL23" s="257">
        <v>2030</v>
      </c>
      <c r="AM23" s="258">
        <v>2278</v>
      </c>
      <c r="AN23" s="1196">
        <f t="shared" si="20"/>
        <v>2030</v>
      </c>
      <c r="AO23" s="1197">
        <f t="shared" si="21"/>
        <v>2278</v>
      </c>
      <c r="AP23" s="257">
        <v>32425</v>
      </c>
      <c r="AQ23" s="258">
        <v>21116</v>
      </c>
      <c r="AR23" s="1196">
        <f t="shared" si="22"/>
        <v>32425</v>
      </c>
      <c r="AS23" s="1197">
        <f t="shared" si="23"/>
        <v>21116</v>
      </c>
      <c r="AT23" s="257">
        <v>47786</v>
      </c>
      <c r="AU23" s="258">
        <v>48333</v>
      </c>
      <c r="AV23" s="1196">
        <f t="shared" si="24"/>
        <v>47786</v>
      </c>
      <c r="AW23" s="1197">
        <f t="shared" si="25"/>
        <v>48333</v>
      </c>
      <c r="AX23" s="1032">
        <v>5483</v>
      </c>
      <c r="AY23" s="260">
        <v>2832</v>
      </c>
      <c r="AZ23" s="1196">
        <f t="shared" si="26"/>
        <v>5483</v>
      </c>
      <c r="BA23" s="1197">
        <f t="shared" si="27"/>
        <v>2832</v>
      </c>
      <c r="BB23" s="257">
        <v>4827</v>
      </c>
      <c r="BC23" s="258">
        <v>3678</v>
      </c>
      <c r="BD23" s="1196">
        <f t="shared" si="28"/>
        <v>4827</v>
      </c>
      <c r="BE23" s="1197">
        <f t="shared" si="29"/>
        <v>3678</v>
      </c>
      <c r="BF23" s="257">
        <v>12989</v>
      </c>
      <c r="BG23" s="258">
        <v>11383</v>
      </c>
      <c r="BH23" s="1196">
        <f t="shared" si="30"/>
        <v>12989</v>
      </c>
      <c r="BI23" s="1197">
        <f t="shared" si="31"/>
        <v>11383</v>
      </c>
      <c r="BJ23" s="704">
        <v>27690</v>
      </c>
      <c r="BK23" s="705">
        <v>28325</v>
      </c>
      <c r="BL23" s="1196">
        <f t="shared" si="32"/>
        <v>27690</v>
      </c>
      <c r="BM23" s="1197">
        <f t="shared" si="33"/>
        <v>28325</v>
      </c>
      <c r="BN23" s="257">
        <v>16173</v>
      </c>
      <c r="BO23" s="258">
        <v>15137</v>
      </c>
      <c r="BP23" s="1196">
        <f t="shared" si="34"/>
        <v>16173</v>
      </c>
      <c r="BQ23" s="1196">
        <f t="shared" si="35"/>
        <v>15137</v>
      </c>
      <c r="BR23" s="257">
        <v>18448</v>
      </c>
      <c r="BS23" s="258">
        <v>16393</v>
      </c>
      <c r="BT23" s="1196">
        <f t="shared" si="36"/>
        <v>18448</v>
      </c>
      <c r="BU23" s="1197">
        <f t="shared" si="37"/>
        <v>16393</v>
      </c>
      <c r="BV23" s="261"/>
      <c r="BW23" s="258"/>
      <c r="BX23" s="258"/>
      <c r="BY23" s="259"/>
      <c r="BZ23" s="1203">
        <v>17179</v>
      </c>
      <c r="CA23" s="1204">
        <v>15133</v>
      </c>
      <c r="CB23" s="1201">
        <f t="shared" si="38"/>
        <v>17179</v>
      </c>
      <c r="CC23" s="1202">
        <f t="shared" si="39"/>
        <v>15133</v>
      </c>
      <c r="CD23" s="635">
        <v>2510</v>
      </c>
      <c r="CE23" s="263">
        <v>4143</v>
      </c>
      <c r="CF23" s="1196">
        <f t="shared" si="40"/>
        <v>2510</v>
      </c>
      <c r="CG23" s="1197">
        <f t="shared" si="41"/>
        <v>4143</v>
      </c>
      <c r="CH23" s="1034">
        <v>961</v>
      </c>
      <c r="CI23" s="266">
        <v>1260</v>
      </c>
      <c r="CJ23" s="1196">
        <f t="shared" si="42"/>
        <v>961</v>
      </c>
      <c r="CK23" s="1197">
        <f t="shared" si="43"/>
        <v>1260</v>
      </c>
      <c r="CL23" s="257">
        <v>22937</v>
      </c>
      <c r="CM23" s="258">
        <v>14717</v>
      </c>
      <c r="CN23" s="1196">
        <f t="shared" si="44"/>
        <v>22937</v>
      </c>
      <c r="CO23" s="1197">
        <f t="shared" si="45"/>
        <v>14717</v>
      </c>
      <c r="CP23" s="1635">
        <f t="shared" si="46"/>
        <v>311147</v>
      </c>
      <c r="CQ23" s="269">
        <f t="shared" si="46"/>
        <v>274421</v>
      </c>
      <c r="CR23" s="269">
        <f t="shared" si="46"/>
        <v>311147</v>
      </c>
      <c r="CS23" s="1488">
        <f t="shared" si="46"/>
        <v>274421</v>
      </c>
      <c r="CT23" s="1034">
        <v>111272</v>
      </c>
      <c r="CU23" s="266">
        <v>80568</v>
      </c>
      <c r="CV23" s="1196">
        <f t="shared" si="47"/>
        <v>111272</v>
      </c>
      <c r="CW23" s="1197">
        <f t="shared" si="48"/>
        <v>80568</v>
      </c>
      <c r="CX23" s="1635">
        <f t="shared" si="49"/>
        <v>422419</v>
      </c>
      <c r="CY23" s="269">
        <f t="shared" si="49"/>
        <v>354989</v>
      </c>
      <c r="CZ23" s="269">
        <f t="shared" si="49"/>
        <v>422419</v>
      </c>
      <c r="DA23" s="1488">
        <f t="shared" si="49"/>
        <v>354989</v>
      </c>
    </row>
    <row r="24" spans="1:105" ht="16.5">
      <c r="A24" s="253" t="s">
        <v>96</v>
      </c>
      <c r="B24" s="254">
        <v>2278</v>
      </c>
      <c r="C24" s="255">
        <v>-13224</v>
      </c>
      <c r="D24" s="1196">
        <f t="shared" si="2"/>
        <v>2278</v>
      </c>
      <c r="E24" s="1197">
        <f t="shared" si="3"/>
        <v>-13224</v>
      </c>
      <c r="F24" s="257"/>
      <c r="G24" s="258"/>
      <c r="H24" s="1196">
        <f t="shared" si="4"/>
        <v>0</v>
      </c>
      <c r="I24" s="1197">
        <f t="shared" si="5"/>
        <v>0</v>
      </c>
      <c r="J24" s="257"/>
      <c r="K24" s="258"/>
      <c r="L24" s="1196">
        <f t="shared" si="6"/>
        <v>0</v>
      </c>
      <c r="M24" s="1197">
        <f t="shared" si="7"/>
        <v>0</v>
      </c>
      <c r="N24" s="257"/>
      <c r="O24" s="258"/>
      <c r="P24" s="1196">
        <f t="shared" si="8"/>
        <v>0</v>
      </c>
      <c r="Q24" s="1197">
        <f t="shared" si="9"/>
        <v>0</v>
      </c>
      <c r="R24" s="257">
        <v>108262</v>
      </c>
      <c r="S24" s="258">
        <v>78099</v>
      </c>
      <c r="T24" s="1196">
        <f t="shared" si="10"/>
        <v>108262</v>
      </c>
      <c r="U24" s="1197">
        <f t="shared" si="11"/>
        <v>78099</v>
      </c>
      <c r="V24" s="257"/>
      <c r="W24" s="258"/>
      <c r="X24" s="1196">
        <f t="shared" si="12"/>
        <v>0</v>
      </c>
      <c r="Y24" s="1197">
        <f t="shared" si="13"/>
        <v>0</v>
      </c>
      <c r="Z24" s="257">
        <v>2664</v>
      </c>
      <c r="AA24" s="258">
        <v>7437</v>
      </c>
      <c r="AB24" s="1196">
        <f t="shared" si="14"/>
        <v>2664</v>
      </c>
      <c r="AC24" s="1197">
        <f t="shared" si="15"/>
        <v>7437</v>
      </c>
      <c r="AD24" s="257"/>
      <c r="AE24" s="258"/>
      <c r="AF24" s="1196">
        <f t="shared" si="16"/>
        <v>0</v>
      </c>
      <c r="AG24" s="1197">
        <f t="shared" si="17"/>
        <v>0</v>
      </c>
      <c r="AH24" s="257">
        <v>2124</v>
      </c>
      <c r="AI24" s="258">
        <v>2030</v>
      </c>
      <c r="AJ24" s="1196">
        <f t="shared" si="18"/>
        <v>2124</v>
      </c>
      <c r="AK24" s="1197">
        <f t="shared" si="19"/>
        <v>2030</v>
      </c>
      <c r="AL24" s="257"/>
      <c r="AM24" s="258"/>
      <c r="AN24" s="1196">
        <f t="shared" si="20"/>
        <v>0</v>
      </c>
      <c r="AO24" s="1197">
        <f t="shared" si="21"/>
        <v>0</v>
      </c>
      <c r="AP24" s="257"/>
      <c r="AQ24" s="258"/>
      <c r="AR24" s="1196">
        <f t="shared" si="22"/>
        <v>0</v>
      </c>
      <c r="AS24" s="1197">
        <f t="shared" si="23"/>
        <v>0</v>
      </c>
      <c r="AT24" s="257"/>
      <c r="AU24" s="258"/>
      <c r="AV24" s="1196">
        <f t="shared" si="24"/>
        <v>0</v>
      </c>
      <c r="AW24" s="1197">
        <f t="shared" si="25"/>
        <v>0</v>
      </c>
      <c r="AX24" s="1032"/>
      <c r="AY24" s="260"/>
      <c r="AZ24" s="1196">
        <f t="shared" si="26"/>
        <v>0</v>
      </c>
      <c r="BA24" s="1197">
        <f t="shared" si="27"/>
        <v>0</v>
      </c>
      <c r="BB24" s="257"/>
      <c r="BC24" s="258"/>
      <c r="BD24" s="1196">
        <f t="shared" si="28"/>
        <v>0</v>
      </c>
      <c r="BE24" s="1197">
        <f t="shared" si="29"/>
        <v>0</v>
      </c>
      <c r="BF24" s="257"/>
      <c r="BG24" s="258"/>
      <c r="BH24" s="1196">
        <f t="shared" si="30"/>
        <v>0</v>
      </c>
      <c r="BI24" s="1197">
        <f t="shared" si="31"/>
        <v>0</v>
      </c>
      <c r="BJ24" s="257"/>
      <c r="BK24" s="258"/>
      <c r="BL24" s="1196">
        <f t="shared" si="32"/>
        <v>0</v>
      </c>
      <c r="BM24" s="1197">
        <f t="shared" si="33"/>
        <v>0</v>
      </c>
      <c r="BN24" s="257"/>
      <c r="BO24" s="258"/>
      <c r="BP24" s="1196">
        <f t="shared" si="34"/>
        <v>0</v>
      </c>
      <c r="BQ24" s="1196">
        <f t="shared" si="35"/>
        <v>0</v>
      </c>
      <c r="BR24" s="257"/>
      <c r="BS24" s="258"/>
      <c r="BT24" s="1196">
        <f t="shared" si="36"/>
        <v>0</v>
      </c>
      <c r="BU24" s="1197">
        <f t="shared" si="37"/>
        <v>0</v>
      </c>
      <c r="BV24" s="261"/>
      <c r="BW24" s="258"/>
      <c r="BX24" s="258"/>
      <c r="BY24" s="259"/>
      <c r="BZ24" s="1203"/>
      <c r="CA24" s="1204"/>
      <c r="CB24" s="1201">
        <f t="shared" si="38"/>
        <v>0</v>
      </c>
      <c r="CC24" s="1202">
        <f t="shared" si="39"/>
        <v>0</v>
      </c>
      <c r="CD24" s="635"/>
      <c r="CE24" s="263"/>
      <c r="CF24" s="1196">
        <f t="shared" si="40"/>
        <v>0</v>
      </c>
      <c r="CG24" s="1197">
        <f t="shared" si="41"/>
        <v>0</v>
      </c>
      <c r="CH24" s="1034"/>
      <c r="CI24" s="266"/>
      <c r="CJ24" s="1196">
        <f t="shared" si="42"/>
        <v>0</v>
      </c>
      <c r="CK24" s="1197">
        <f t="shared" si="43"/>
        <v>0</v>
      </c>
      <c r="CL24" s="257"/>
      <c r="CM24" s="258"/>
      <c r="CN24" s="1196">
        <f t="shared" si="44"/>
        <v>0</v>
      </c>
      <c r="CO24" s="1197">
        <f t="shared" si="45"/>
        <v>0</v>
      </c>
      <c r="CP24" s="1635">
        <f t="shared" si="46"/>
        <v>115328</v>
      </c>
      <c r="CQ24" s="269">
        <f t="shared" si="46"/>
        <v>74342</v>
      </c>
      <c r="CR24" s="269">
        <f t="shared" si="46"/>
        <v>115328</v>
      </c>
      <c r="CS24" s="1488">
        <f t="shared" si="46"/>
        <v>74342</v>
      </c>
      <c r="CT24" s="1034"/>
      <c r="CU24" s="266"/>
      <c r="CV24" s="1196">
        <f t="shared" si="47"/>
        <v>0</v>
      </c>
      <c r="CW24" s="1197">
        <f t="shared" si="48"/>
        <v>0</v>
      </c>
      <c r="CX24" s="1635">
        <f t="shared" si="49"/>
        <v>115328</v>
      </c>
      <c r="CY24" s="269">
        <f t="shared" si="49"/>
        <v>74342</v>
      </c>
      <c r="CZ24" s="269">
        <f t="shared" si="49"/>
        <v>115328</v>
      </c>
      <c r="DA24" s="1488">
        <f t="shared" si="49"/>
        <v>74342</v>
      </c>
    </row>
    <row r="25" spans="1:105" ht="16.5">
      <c r="A25" s="253" t="s">
        <v>97</v>
      </c>
      <c r="B25" s="254"/>
      <c r="C25" s="255"/>
      <c r="D25" s="1196">
        <f t="shared" si="2"/>
        <v>0</v>
      </c>
      <c r="E25" s="1197">
        <f t="shared" si="3"/>
        <v>0</v>
      </c>
      <c r="F25" s="257">
        <v>58976</v>
      </c>
      <c r="G25" s="258">
        <v>63124</v>
      </c>
      <c r="H25" s="1196">
        <f t="shared" si="4"/>
        <v>58976</v>
      </c>
      <c r="I25" s="1197">
        <f t="shared" si="5"/>
        <v>63124</v>
      </c>
      <c r="J25" s="257">
        <v>44928</v>
      </c>
      <c r="K25" s="258">
        <v>45561</v>
      </c>
      <c r="L25" s="1196">
        <f t="shared" si="6"/>
        <v>44928</v>
      </c>
      <c r="M25" s="1197">
        <f t="shared" si="7"/>
        <v>45561</v>
      </c>
      <c r="N25" s="257">
        <v>169745</v>
      </c>
      <c r="O25" s="258">
        <v>186182</v>
      </c>
      <c r="P25" s="1196">
        <f t="shared" si="8"/>
        <v>169745</v>
      </c>
      <c r="Q25" s="1197">
        <f t="shared" si="9"/>
        <v>186182</v>
      </c>
      <c r="R25" s="257">
        <v>100472</v>
      </c>
      <c r="S25" s="258">
        <v>67064</v>
      </c>
      <c r="T25" s="1196">
        <f t="shared" si="10"/>
        <v>100472</v>
      </c>
      <c r="U25" s="1197">
        <f t="shared" si="11"/>
        <v>67064</v>
      </c>
      <c r="V25" s="257">
        <v>72773</v>
      </c>
      <c r="W25" s="258">
        <v>60256</v>
      </c>
      <c r="X25" s="1196">
        <f t="shared" si="12"/>
        <v>72773</v>
      </c>
      <c r="Y25" s="1197">
        <f t="shared" si="13"/>
        <v>60256</v>
      </c>
      <c r="Z25" s="257">
        <v>24777</v>
      </c>
      <c r="AA25" s="258">
        <v>34268</v>
      </c>
      <c r="AB25" s="1196">
        <f t="shared" si="14"/>
        <v>24777</v>
      </c>
      <c r="AC25" s="1197">
        <f t="shared" si="15"/>
        <v>34268</v>
      </c>
      <c r="AD25" s="257">
        <v>46779</v>
      </c>
      <c r="AE25" s="258">
        <v>33954</v>
      </c>
      <c r="AF25" s="1196">
        <f t="shared" si="16"/>
        <v>46779</v>
      </c>
      <c r="AG25" s="1197">
        <f t="shared" si="17"/>
        <v>33954</v>
      </c>
      <c r="AH25" s="257"/>
      <c r="AI25" s="258"/>
      <c r="AJ25" s="1196">
        <f t="shared" si="18"/>
        <v>0</v>
      </c>
      <c r="AK25" s="1197">
        <f t="shared" si="19"/>
        <v>0</v>
      </c>
      <c r="AL25" s="257">
        <v>27391</v>
      </c>
      <c r="AM25" s="258">
        <v>20873</v>
      </c>
      <c r="AN25" s="1196">
        <f t="shared" si="20"/>
        <v>27391</v>
      </c>
      <c r="AO25" s="1197">
        <f t="shared" si="21"/>
        <v>20873</v>
      </c>
      <c r="AP25" s="257">
        <v>283140</v>
      </c>
      <c r="AQ25" s="258">
        <v>260987</v>
      </c>
      <c r="AR25" s="1196">
        <f t="shared" si="22"/>
        <v>283140</v>
      </c>
      <c r="AS25" s="1197">
        <f t="shared" si="23"/>
        <v>260987</v>
      </c>
      <c r="AT25" s="257">
        <v>248624</v>
      </c>
      <c r="AU25" s="258">
        <v>243188</v>
      </c>
      <c r="AV25" s="1196">
        <f t="shared" si="24"/>
        <v>248624</v>
      </c>
      <c r="AW25" s="1197">
        <f t="shared" si="25"/>
        <v>243188</v>
      </c>
      <c r="AX25" s="1032">
        <v>36974</v>
      </c>
      <c r="AY25" s="260">
        <v>27237</v>
      </c>
      <c r="AZ25" s="1196">
        <f t="shared" si="26"/>
        <v>36974</v>
      </c>
      <c r="BA25" s="1197">
        <f t="shared" si="27"/>
        <v>27237</v>
      </c>
      <c r="BB25" s="257">
        <v>68287</v>
      </c>
      <c r="BC25" s="258">
        <v>65906</v>
      </c>
      <c r="BD25" s="1196">
        <f t="shared" si="28"/>
        <v>68287</v>
      </c>
      <c r="BE25" s="1197">
        <f t="shared" si="29"/>
        <v>65906</v>
      </c>
      <c r="BF25" s="704">
        <v>80778</v>
      </c>
      <c r="BG25" s="705">
        <v>62479</v>
      </c>
      <c r="BH25" s="1196">
        <f t="shared" si="30"/>
        <v>80778</v>
      </c>
      <c r="BI25" s="1197">
        <f t="shared" si="31"/>
        <v>62479</v>
      </c>
      <c r="BJ25" s="257">
        <v>153780</v>
      </c>
      <c r="BK25" s="258">
        <v>139564</v>
      </c>
      <c r="BL25" s="1196">
        <f t="shared" si="32"/>
        <v>153780</v>
      </c>
      <c r="BM25" s="1197">
        <f t="shared" si="33"/>
        <v>139564</v>
      </c>
      <c r="BN25" s="257">
        <v>110408</v>
      </c>
      <c r="BO25" s="258">
        <v>55805</v>
      </c>
      <c r="BP25" s="1196">
        <f t="shared" si="34"/>
        <v>110408</v>
      </c>
      <c r="BQ25" s="1196">
        <f t="shared" si="35"/>
        <v>55805</v>
      </c>
      <c r="BR25" s="257">
        <v>91714</v>
      </c>
      <c r="BS25" s="258">
        <v>73967</v>
      </c>
      <c r="BT25" s="1196">
        <f t="shared" si="36"/>
        <v>91714</v>
      </c>
      <c r="BU25" s="1197">
        <f t="shared" si="37"/>
        <v>73967</v>
      </c>
      <c r="BV25" s="261"/>
      <c r="BW25" s="258"/>
      <c r="BX25" s="258"/>
      <c r="BY25" s="259"/>
      <c r="BZ25" s="1203">
        <v>166635</v>
      </c>
      <c r="CA25" s="1204">
        <v>181641</v>
      </c>
      <c r="CB25" s="1201">
        <f t="shared" si="38"/>
        <v>166635</v>
      </c>
      <c r="CC25" s="1202">
        <f t="shared" si="39"/>
        <v>181641</v>
      </c>
      <c r="CD25" s="635">
        <v>34500</v>
      </c>
      <c r="CE25" s="263">
        <v>21600</v>
      </c>
      <c r="CF25" s="1196">
        <f t="shared" si="40"/>
        <v>34500</v>
      </c>
      <c r="CG25" s="1197">
        <f t="shared" si="41"/>
        <v>21600</v>
      </c>
      <c r="CH25" s="1034">
        <v>33288</v>
      </c>
      <c r="CI25" s="266">
        <v>33970</v>
      </c>
      <c r="CJ25" s="1196">
        <f t="shared" si="42"/>
        <v>33288</v>
      </c>
      <c r="CK25" s="1197">
        <f t="shared" si="43"/>
        <v>33970</v>
      </c>
      <c r="CL25" s="257">
        <v>129294</v>
      </c>
      <c r="CM25" s="258">
        <v>114894</v>
      </c>
      <c r="CN25" s="1196">
        <f t="shared" si="44"/>
        <v>129294</v>
      </c>
      <c r="CO25" s="1197">
        <f t="shared" si="45"/>
        <v>114894</v>
      </c>
      <c r="CP25" s="1636">
        <f t="shared" si="46"/>
        <v>1983263</v>
      </c>
      <c r="CQ25" s="254">
        <f t="shared" si="46"/>
        <v>1792520</v>
      </c>
      <c r="CR25" s="254">
        <f t="shared" si="46"/>
        <v>1983263</v>
      </c>
      <c r="CS25" s="1175">
        <f t="shared" si="46"/>
        <v>1792520</v>
      </c>
      <c r="CT25" s="257"/>
      <c r="CU25" s="258"/>
      <c r="CV25" s="1196">
        <f t="shared" si="47"/>
        <v>0</v>
      </c>
      <c r="CW25" s="1197">
        <f t="shared" si="48"/>
        <v>0</v>
      </c>
      <c r="CX25" s="1636">
        <f t="shared" si="49"/>
        <v>1983263</v>
      </c>
      <c r="CY25" s="254">
        <f t="shared" si="49"/>
        <v>1792520</v>
      </c>
      <c r="CZ25" s="254">
        <f t="shared" si="49"/>
        <v>1983263</v>
      </c>
      <c r="DA25" s="1175">
        <f t="shared" si="49"/>
        <v>1792520</v>
      </c>
    </row>
    <row r="26" spans="1:105" ht="16.5">
      <c r="A26" s="253" t="s">
        <v>98</v>
      </c>
      <c r="B26" s="254"/>
      <c r="C26" s="255"/>
      <c r="D26" s="1196">
        <f t="shared" si="2"/>
        <v>0</v>
      </c>
      <c r="E26" s="1197">
        <f t="shared" si="3"/>
        <v>0</v>
      </c>
      <c r="F26" s="257">
        <v>5</v>
      </c>
      <c r="G26" s="258">
        <v>28</v>
      </c>
      <c r="H26" s="1196">
        <f t="shared" si="4"/>
        <v>5</v>
      </c>
      <c r="I26" s="1197">
        <f t="shared" si="5"/>
        <v>28</v>
      </c>
      <c r="J26" s="257">
        <v>3881</v>
      </c>
      <c r="K26" s="258">
        <v>4330</v>
      </c>
      <c r="L26" s="1196">
        <f t="shared" si="6"/>
        <v>3881</v>
      </c>
      <c r="M26" s="1197">
        <f t="shared" si="7"/>
        <v>4330</v>
      </c>
      <c r="N26" s="257"/>
      <c r="O26" s="258"/>
      <c r="P26" s="1196">
        <f t="shared" si="8"/>
        <v>0</v>
      </c>
      <c r="Q26" s="1197">
        <f t="shared" si="9"/>
        <v>0</v>
      </c>
      <c r="R26" s="257"/>
      <c r="S26" s="258"/>
      <c r="T26" s="1196">
        <f t="shared" si="10"/>
        <v>0</v>
      </c>
      <c r="U26" s="1197">
        <f t="shared" si="11"/>
        <v>0</v>
      </c>
      <c r="V26" s="257"/>
      <c r="W26" s="258"/>
      <c r="X26" s="1196">
        <f t="shared" si="12"/>
        <v>0</v>
      </c>
      <c r="Y26" s="1197">
        <f t="shared" si="13"/>
        <v>0</v>
      </c>
      <c r="Z26" s="257"/>
      <c r="AA26" s="258"/>
      <c r="AB26" s="1196">
        <f t="shared" si="14"/>
        <v>0</v>
      </c>
      <c r="AC26" s="1197">
        <f t="shared" si="15"/>
        <v>0</v>
      </c>
      <c r="AD26" s="257">
        <v>736</v>
      </c>
      <c r="AE26" s="258">
        <v>19</v>
      </c>
      <c r="AF26" s="1196">
        <f t="shared" si="16"/>
        <v>736</v>
      </c>
      <c r="AG26" s="1197">
        <f t="shared" si="17"/>
        <v>19</v>
      </c>
      <c r="AH26" s="257">
        <f>-20+3566</f>
        <v>3546</v>
      </c>
      <c r="AI26" s="258">
        <f>-849+396</f>
        <v>-453</v>
      </c>
      <c r="AJ26" s="1196">
        <f t="shared" si="18"/>
        <v>3546</v>
      </c>
      <c r="AK26" s="1197">
        <f t="shared" si="19"/>
        <v>-453</v>
      </c>
      <c r="AL26" s="257">
        <v>3510</v>
      </c>
      <c r="AM26" s="258">
        <v>170</v>
      </c>
      <c r="AN26" s="1196">
        <f t="shared" si="20"/>
        <v>3510</v>
      </c>
      <c r="AO26" s="1197">
        <f t="shared" si="21"/>
        <v>170</v>
      </c>
      <c r="AP26" s="257">
        <v>5382</v>
      </c>
      <c r="AQ26" s="258">
        <v>9278</v>
      </c>
      <c r="AR26" s="1196">
        <f t="shared" si="22"/>
        <v>5382</v>
      </c>
      <c r="AS26" s="1197">
        <f t="shared" si="23"/>
        <v>9278</v>
      </c>
      <c r="AT26" s="257">
        <v>8393</v>
      </c>
      <c r="AU26" s="258">
        <v>-154196</v>
      </c>
      <c r="AV26" s="1196">
        <f t="shared" si="24"/>
        <v>8393</v>
      </c>
      <c r="AW26" s="1197">
        <f t="shared" si="25"/>
        <v>-154196</v>
      </c>
      <c r="AX26" s="1032"/>
      <c r="AY26" s="260"/>
      <c r="AZ26" s="1196">
        <f t="shared" si="26"/>
        <v>0</v>
      </c>
      <c r="BA26" s="1197">
        <f t="shared" si="27"/>
        <v>0</v>
      </c>
      <c r="BB26" s="257"/>
      <c r="BC26" s="258"/>
      <c r="BD26" s="1196">
        <f t="shared" si="28"/>
        <v>0</v>
      </c>
      <c r="BE26" s="1197">
        <f t="shared" si="29"/>
        <v>0</v>
      </c>
      <c r="BF26" s="257">
        <v>8537</v>
      </c>
      <c r="BG26" s="705">
        <v>25671</v>
      </c>
      <c r="BH26" s="1196">
        <f t="shared" si="30"/>
        <v>8537</v>
      </c>
      <c r="BI26" s="1197">
        <f t="shared" si="31"/>
        <v>25671</v>
      </c>
      <c r="BJ26" s="635">
        <f>14158+10292</f>
        <v>24450</v>
      </c>
      <c r="BK26" s="263">
        <f>23890+6624</f>
        <v>30514</v>
      </c>
      <c r="BL26" s="1196">
        <f t="shared" si="32"/>
        <v>24450</v>
      </c>
      <c r="BM26" s="1197">
        <f t="shared" si="33"/>
        <v>30514</v>
      </c>
      <c r="BN26" s="257"/>
      <c r="BO26" s="258"/>
      <c r="BP26" s="1196">
        <f t="shared" si="34"/>
        <v>0</v>
      </c>
      <c r="BQ26" s="1196">
        <f t="shared" si="35"/>
        <v>0</v>
      </c>
      <c r="BR26" s="257"/>
      <c r="BS26" s="258"/>
      <c r="BT26" s="1196">
        <f t="shared" si="36"/>
        <v>0</v>
      </c>
      <c r="BU26" s="1197">
        <f t="shared" si="37"/>
        <v>0</v>
      </c>
      <c r="BV26" s="261"/>
      <c r="BW26" s="258"/>
      <c r="BX26" s="258"/>
      <c r="BY26" s="259"/>
      <c r="BZ26" s="1203">
        <v>17755</v>
      </c>
      <c r="CA26" s="1204">
        <v>410</v>
      </c>
      <c r="CB26" s="1201">
        <f t="shared" si="38"/>
        <v>17755</v>
      </c>
      <c r="CC26" s="1202">
        <f t="shared" si="39"/>
        <v>410</v>
      </c>
      <c r="CD26" s="635">
        <v>317</v>
      </c>
      <c r="CE26" s="263">
        <v>3003</v>
      </c>
      <c r="CF26" s="1196">
        <f t="shared" si="40"/>
        <v>317</v>
      </c>
      <c r="CG26" s="1197">
        <f t="shared" si="41"/>
        <v>3003</v>
      </c>
      <c r="CH26" s="1034">
        <v>4787</v>
      </c>
      <c r="CI26" s="266">
        <v>3906</v>
      </c>
      <c r="CJ26" s="1196">
        <f t="shared" si="42"/>
        <v>4787</v>
      </c>
      <c r="CK26" s="1197">
        <f t="shared" si="43"/>
        <v>3906</v>
      </c>
      <c r="CL26" s="257"/>
      <c r="CM26" s="258"/>
      <c r="CN26" s="1196">
        <f t="shared" si="44"/>
        <v>0</v>
      </c>
      <c r="CO26" s="1197">
        <f t="shared" si="45"/>
        <v>0</v>
      </c>
      <c r="CP26" s="1635">
        <f t="shared" si="46"/>
        <v>81299</v>
      </c>
      <c r="CQ26" s="269">
        <f t="shared" si="46"/>
        <v>-77320</v>
      </c>
      <c r="CR26" s="269">
        <f t="shared" si="46"/>
        <v>81299</v>
      </c>
      <c r="CS26" s="1488">
        <f t="shared" si="46"/>
        <v>-77320</v>
      </c>
      <c r="CT26" s="1034">
        <v>7365318</v>
      </c>
      <c r="CU26" s="266">
        <v>6497479</v>
      </c>
      <c r="CV26" s="1196">
        <f t="shared" si="47"/>
        <v>7365318</v>
      </c>
      <c r="CW26" s="1197">
        <f t="shared" si="48"/>
        <v>6497479</v>
      </c>
      <c r="CX26" s="1635">
        <f t="shared" si="49"/>
        <v>7446617</v>
      </c>
      <c r="CY26" s="269">
        <f t="shared" si="49"/>
        <v>6420159</v>
      </c>
      <c r="CZ26" s="269">
        <f t="shared" si="49"/>
        <v>7446617</v>
      </c>
      <c r="DA26" s="1488">
        <f t="shared" si="49"/>
        <v>6420159</v>
      </c>
    </row>
    <row r="27" spans="1:105" ht="16.5">
      <c r="A27" s="253" t="s">
        <v>99</v>
      </c>
      <c r="B27" s="254">
        <v>59649</v>
      </c>
      <c r="C27" s="255">
        <v>93941</v>
      </c>
      <c r="D27" s="1196">
        <f t="shared" si="2"/>
        <v>59649</v>
      </c>
      <c r="E27" s="1197">
        <f t="shared" si="3"/>
        <v>93941</v>
      </c>
      <c r="F27" s="257">
        <v>16203</v>
      </c>
      <c r="G27" s="258">
        <v>21300</v>
      </c>
      <c r="H27" s="1196">
        <f t="shared" si="4"/>
        <v>16203</v>
      </c>
      <c r="I27" s="1197">
        <f t="shared" si="5"/>
        <v>21300</v>
      </c>
      <c r="J27" s="257"/>
      <c r="K27" s="258"/>
      <c r="L27" s="1196">
        <f t="shared" si="6"/>
        <v>0</v>
      </c>
      <c r="M27" s="1197">
        <f t="shared" si="7"/>
        <v>0</v>
      </c>
      <c r="N27" s="257">
        <v>88448</v>
      </c>
      <c r="O27" s="258">
        <v>92184</v>
      </c>
      <c r="P27" s="1196">
        <f t="shared" si="8"/>
        <v>88448</v>
      </c>
      <c r="Q27" s="1197">
        <f t="shared" si="9"/>
        <v>92184</v>
      </c>
      <c r="R27" s="257">
        <v>25573</v>
      </c>
      <c r="S27" s="258">
        <v>21555</v>
      </c>
      <c r="T27" s="1196">
        <f t="shared" si="10"/>
        <v>25573</v>
      </c>
      <c r="U27" s="1197">
        <f t="shared" si="11"/>
        <v>21555</v>
      </c>
      <c r="V27" s="257"/>
      <c r="W27" s="258"/>
      <c r="X27" s="1196">
        <f t="shared" si="12"/>
        <v>0</v>
      </c>
      <c r="Y27" s="1197">
        <f t="shared" si="13"/>
        <v>0</v>
      </c>
      <c r="Z27" s="257">
        <v>30313</v>
      </c>
      <c r="AA27" s="258">
        <v>51137</v>
      </c>
      <c r="AB27" s="1196">
        <f t="shared" si="14"/>
        <v>30313</v>
      </c>
      <c r="AC27" s="1197">
        <f t="shared" si="15"/>
        <v>51137</v>
      </c>
      <c r="AD27" s="257">
        <v>12437</v>
      </c>
      <c r="AE27" s="258">
        <v>10173</v>
      </c>
      <c r="AF27" s="1196">
        <f t="shared" si="16"/>
        <v>12437</v>
      </c>
      <c r="AG27" s="1197">
        <f t="shared" si="17"/>
        <v>10173</v>
      </c>
      <c r="AH27" s="257"/>
      <c r="AI27" s="258"/>
      <c r="AJ27" s="1196">
        <f t="shared" si="18"/>
        <v>0</v>
      </c>
      <c r="AK27" s="1197">
        <f t="shared" si="19"/>
        <v>0</v>
      </c>
      <c r="AL27" s="257"/>
      <c r="AM27" s="258"/>
      <c r="AN27" s="1196">
        <f t="shared" si="20"/>
        <v>0</v>
      </c>
      <c r="AO27" s="1197">
        <f t="shared" si="21"/>
        <v>0</v>
      </c>
      <c r="AP27" s="257">
        <v>264204</v>
      </c>
      <c r="AQ27" s="258">
        <v>190746</v>
      </c>
      <c r="AR27" s="1196">
        <f t="shared" si="22"/>
        <v>264204</v>
      </c>
      <c r="AS27" s="1197">
        <f t="shared" si="23"/>
        <v>190746</v>
      </c>
      <c r="AT27" s="257"/>
      <c r="AU27" s="258"/>
      <c r="AV27" s="1196">
        <f t="shared" si="24"/>
        <v>0</v>
      </c>
      <c r="AW27" s="1197">
        <f t="shared" si="25"/>
        <v>0</v>
      </c>
      <c r="AX27" s="1032">
        <v>5112</v>
      </c>
      <c r="AY27" s="260">
        <v>4581</v>
      </c>
      <c r="AZ27" s="1196">
        <f t="shared" si="26"/>
        <v>5112</v>
      </c>
      <c r="BA27" s="1197">
        <f t="shared" si="27"/>
        <v>4581</v>
      </c>
      <c r="BB27" s="257">
        <v>16568</v>
      </c>
      <c r="BC27" s="258">
        <v>11538</v>
      </c>
      <c r="BD27" s="1196">
        <f t="shared" si="28"/>
        <v>16568</v>
      </c>
      <c r="BE27" s="1197">
        <f t="shared" si="29"/>
        <v>11538</v>
      </c>
      <c r="BF27" s="257">
        <v>107748</v>
      </c>
      <c r="BG27" s="705">
        <v>95645</v>
      </c>
      <c r="BH27" s="1196">
        <f t="shared" si="30"/>
        <v>107748</v>
      </c>
      <c r="BI27" s="1197">
        <f t="shared" si="31"/>
        <v>95645</v>
      </c>
      <c r="BJ27" s="635">
        <v>844285</v>
      </c>
      <c r="BK27" s="263">
        <v>215109</v>
      </c>
      <c r="BL27" s="1196">
        <f t="shared" si="32"/>
        <v>844285</v>
      </c>
      <c r="BM27" s="1197">
        <f t="shared" si="33"/>
        <v>215109</v>
      </c>
      <c r="BN27" s="257"/>
      <c r="BO27" s="258"/>
      <c r="BP27" s="1196">
        <f t="shared" si="34"/>
        <v>0</v>
      </c>
      <c r="BQ27" s="1196">
        <f t="shared" si="35"/>
        <v>0</v>
      </c>
      <c r="BR27" s="257">
        <v>4781</v>
      </c>
      <c r="BS27" s="258">
        <v>4320</v>
      </c>
      <c r="BT27" s="1196">
        <f t="shared" si="36"/>
        <v>4781</v>
      </c>
      <c r="BU27" s="1197">
        <f t="shared" si="37"/>
        <v>4320</v>
      </c>
      <c r="BV27" s="261"/>
      <c r="BW27" s="258"/>
      <c r="BX27" s="258"/>
      <c r="BY27" s="259"/>
      <c r="BZ27" s="1203">
        <v>244875</v>
      </c>
      <c r="CA27" s="1204">
        <v>77347</v>
      </c>
      <c r="CB27" s="1201">
        <f t="shared" si="38"/>
        <v>244875</v>
      </c>
      <c r="CC27" s="1202">
        <f t="shared" si="39"/>
        <v>77347</v>
      </c>
      <c r="CD27" s="635"/>
      <c r="CE27" s="263"/>
      <c r="CF27" s="1196">
        <f t="shared" si="40"/>
        <v>0</v>
      </c>
      <c r="CG27" s="1197">
        <f t="shared" si="41"/>
        <v>0</v>
      </c>
      <c r="CH27" s="1034">
        <v>4469</v>
      </c>
      <c r="CI27" s="266">
        <v>4635</v>
      </c>
      <c r="CJ27" s="1196">
        <f t="shared" si="42"/>
        <v>4469</v>
      </c>
      <c r="CK27" s="1197">
        <f t="shared" si="43"/>
        <v>4635</v>
      </c>
      <c r="CL27" s="257">
        <v>95738</v>
      </c>
      <c r="CM27" s="258">
        <v>42930</v>
      </c>
      <c r="CN27" s="1196">
        <f t="shared" si="44"/>
        <v>95738</v>
      </c>
      <c r="CO27" s="1197">
        <f t="shared" si="45"/>
        <v>42930</v>
      </c>
      <c r="CP27" s="1635">
        <f t="shared" si="46"/>
        <v>1820403</v>
      </c>
      <c r="CQ27" s="269">
        <f t="shared" si="46"/>
        <v>937141</v>
      </c>
      <c r="CR27" s="269">
        <f t="shared" si="46"/>
        <v>1820403</v>
      </c>
      <c r="CS27" s="1488">
        <f t="shared" si="46"/>
        <v>937141</v>
      </c>
      <c r="CT27" s="1034">
        <v>866380</v>
      </c>
      <c r="CU27" s="266">
        <v>921026</v>
      </c>
      <c r="CV27" s="1196">
        <f t="shared" si="47"/>
        <v>866380</v>
      </c>
      <c r="CW27" s="1197">
        <f t="shared" si="48"/>
        <v>921026</v>
      </c>
      <c r="CX27" s="1635">
        <f t="shared" si="49"/>
        <v>2686783</v>
      </c>
      <c r="CY27" s="269">
        <f t="shared" si="49"/>
        <v>1858167</v>
      </c>
      <c r="CZ27" s="269">
        <f t="shared" si="49"/>
        <v>2686783</v>
      </c>
      <c r="DA27" s="1488">
        <f t="shared" si="49"/>
        <v>1858167</v>
      </c>
    </row>
    <row r="28" spans="1:105" ht="16.5">
      <c r="A28" s="253" t="s">
        <v>100</v>
      </c>
      <c r="B28" s="254">
        <v>68257</v>
      </c>
      <c r="C28" s="255">
        <v>50618</v>
      </c>
      <c r="D28" s="1196">
        <f t="shared" si="2"/>
        <v>68257</v>
      </c>
      <c r="E28" s="1197">
        <f t="shared" si="3"/>
        <v>50618</v>
      </c>
      <c r="F28" s="257">
        <v>36997</v>
      </c>
      <c r="G28" s="258">
        <v>26415</v>
      </c>
      <c r="H28" s="1196">
        <f t="shared" si="4"/>
        <v>36997</v>
      </c>
      <c r="I28" s="1197">
        <f t="shared" si="5"/>
        <v>26415</v>
      </c>
      <c r="J28" s="257">
        <v>17967</v>
      </c>
      <c r="K28" s="258">
        <v>24760</v>
      </c>
      <c r="L28" s="1196">
        <f t="shared" si="6"/>
        <v>17967</v>
      </c>
      <c r="M28" s="1197">
        <f t="shared" si="7"/>
        <v>24760</v>
      </c>
      <c r="N28" s="257">
        <v>85772</v>
      </c>
      <c r="O28" s="258">
        <v>60130</v>
      </c>
      <c r="P28" s="1196">
        <f t="shared" si="8"/>
        <v>85772</v>
      </c>
      <c r="Q28" s="1197">
        <f t="shared" si="9"/>
        <v>60130</v>
      </c>
      <c r="R28" s="257">
        <v>21888</v>
      </c>
      <c r="S28" s="258">
        <v>27653</v>
      </c>
      <c r="T28" s="1196">
        <f t="shared" si="10"/>
        <v>21888</v>
      </c>
      <c r="U28" s="1197">
        <f t="shared" si="11"/>
        <v>27653</v>
      </c>
      <c r="V28" s="257">
        <v>15230</v>
      </c>
      <c r="W28" s="258">
        <v>13240</v>
      </c>
      <c r="X28" s="1196">
        <f t="shared" si="12"/>
        <v>15230</v>
      </c>
      <c r="Y28" s="1197">
        <f t="shared" si="13"/>
        <v>13240</v>
      </c>
      <c r="Z28" s="257">
        <v>43740</v>
      </c>
      <c r="AA28" s="258">
        <v>59046</v>
      </c>
      <c r="AB28" s="1196">
        <f t="shared" si="14"/>
        <v>43740</v>
      </c>
      <c r="AC28" s="1197">
        <f t="shared" si="15"/>
        <v>59046</v>
      </c>
      <c r="AD28" s="257">
        <v>56573</v>
      </c>
      <c r="AE28" s="258">
        <v>52628</v>
      </c>
      <c r="AF28" s="1196">
        <f t="shared" si="16"/>
        <v>56573</v>
      </c>
      <c r="AG28" s="1197">
        <f t="shared" si="17"/>
        <v>52628</v>
      </c>
      <c r="AH28" s="257">
        <v>34909</v>
      </c>
      <c r="AI28" s="258">
        <v>29405</v>
      </c>
      <c r="AJ28" s="1196">
        <f t="shared" si="18"/>
        <v>34909</v>
      </c>
      <c r="AK28" s="1197">
        <f t="shared" si="19"/>
        <v>29405</v>
      </c>
      <c r="AL28" s="257">
        <v>42012</v>
      </c>
      <c r="AM28" s="258">
        <v>36203</v>
      </c>
      <c r="AN28" s="1196">
        <f t="shared" si="20"/>
        <v>42012</v>
      </c>
      <c r="AO28" s="1197">
        <f t="shared" si="21"/>
        <v>36203</v>
      </c>
      <c r="AP28" s="257">
        <f>94296+11514</f>
        <v>105810</v>
      </c>
      <c r="AQ28" s="258">
        <f>107284+11514</f>
        <v>118798</v>
      </c>
      <c r="AR28" s="1196">
        <f t="shared" si="22"/>
        <v>105810</v>
      </c>
      <c r="AS28" s="1197">
        <f t="shared" si="23"/>
        <v>118798</v>
      </c>
      <c r="AT28" s="257">
        <v>146142</v>
      </c>
      <c r="AU28" s="258">
        <v>124072</v>
      </c>
      <c r="AV28" s="1196">
        <f t="shared" si="24"/>
        <v>146142</v>
      </c>
      <c r="AW28" s="1197">
        <f t="shared" si="25"/>
        <v>124072</v>
      </c>
      <c r="AX28" s="1032">
        <v>25566</v>
      </c>
      <c r="AY28" s="260">
        <v>27044</v>
      </c>
      <c r="AZ28" s="1196">
        <f t="shared" si="26"/>
        <v>25566</v>
      </c>
      <c r="BA28" s="1197">
        <f t="shared" si="27"/>
        <v>27044</v>
      </c>
      <c r="BB28" s="257">
        <v>41659</v>
      </c>
      <c r="BC28" s="258">
        <v>30180</v>
      </c>
      <c r="BD28" s="1196">
        <f t="shared" si="28"/>
        <v>41659</v>
      </c>
      <c r="BE28" s="1197">
        <f t="shared" si="29"/>
        <v>30180</v>
      </c>
      <c r="BF28" s="257">
        <v>104517</v>
      </c>
      <c r="BG28" s="705">
        <v>83167</v>
      </c>
      <c r="BH28" s="1196">
        <f t="shared" si="30"/>
        <v>104517</v>
      </c>
      <c r="BI28" s="1197">
        <f t="shared" si="31"/>
        <v>83167</v>
      </c>
      <c r="BJ28" s="635">
        <v>190722</v>
      </c>
      <c r="BK28" s="263">
        <v>195097</v>
      </c>
      <c r="BL28" s="1196">
        <f t="shared" si="32"/>
        <v>190722</v>
      </c>
      <c r="BM28" s="1197">
        <f t="shared" si="33"/>
        <v>195097</v>
      </c>
      <c r="BN28" s="257">
        <v>81908</v>
      </c>
      <c r="BO28" s="258">
        <v>63067</v>
      </c>
      <c r="BP28" s="1196">
        <f t="shared" si="34"/>
        <v>81908</v>
      </c>
      <c r="BQ28" s="1196">
        <f t="shared" si="35"/>
        <v>63067</v>
      </c>
      <c r="BR28" s="257">
        <v>47706</v>
      </c>
      <c r="BS28" s="258">
        <v>43367</v>
      </c>
      <c r="BT28" s="1196">
        <f t="shared" si="36"/>
        <v>47706</v>
      </c>
      <c r="BU28" s="1197">
        <f t="shared" si="37"/>
        <v>43367</v>
      </c>
      <c r="BV28" s="261"/>
      <c r="BW28" s="258"/>
      <c r="BX28" s="258"/>
      <c r="BY28" s="259"/>
      <c r="BZ28" s="1203">
        <v>195949</v>
      </c>
      <c r="CA28" s="1204">
        <v>163227</v>
      </c>
      <c r="CB28" s="1201">
        <f t="shared" si="38"/>
        <v>195949</v>
      </c>
      <c r="CC28" s="1202">
        <f t="shared" si="39"/>
        <v>163227</v>
      </c>
      <c r="CD28" s="635">
        <v>34547</v>
      </c>
      <c r="CE28" s="263">
        <v>16625</v>
      </c>
      <c r="CF28" s="1196">
        <f t="shared" si="40"/>
        <v>34547</v>
      </c>
      <c r="CG28" s="1197">
        <f t="shared" si="41"/>
        <v>16625</v>
      </c>
      <c r="CH28" s="1034">
        <v>21955</v>
      </c>
      <c r="CI28" s="266">
        <v>30332</v>
      </c>
      <c r="CJ28" s="1196">
        <f t="shared" si="42"/>
        <v>21955</v>
      </c>
      <c r="CK28" s="1197">
        <f t="shared" si="43"/>
        <v>30332</v>
      </c>
      <c r="CL28" s="257">
        <v>115031</v>
      </c>
      <c r="CM28" s="258">
        <v>117362</v>
      </c>
      <c r="CN28" s="1196">
        <f t="shared" si="44"/>
        <v>115031</v>
      </c>
      <c r="CO28" s="1197">
        <f t="shared" si="45"/>
        <v>117362</v>
      </c>
      <c r="CP28" s="1635">
        <f t="shared" si="46"/>
        <v>1534857</v>
      </c>
      <c r="CQ28" s="269">
        <f t="shared" si="46"/>
        <v>1392436</v>
      </c>
      <c r="CR28" s="269">
        <f t="shared" si="46"/>
        <v>1534857</v>
      </c>
      <c r="CS28" s="1488">
        <f t="shared" si="46"/>
        <v>1392436</v>
      </c>
      <c r="CT28" s="1034">
        <v>872905</v>
      </c>
      <c r="CU28" s="266">
        <v>798882</v>
      </c>
      <c r="CV28" s="1196">
        <f t="shared" si="47"/>
        <v>872905</v>
      </c>
      <c r="CW28" s="1197">
        <f t="shared" si="48"/>
        <v>798882</v>
      </c>
      <c r="CX28" s="1635">
        <f t="shared" si="49"/>
        <v>2407762</v>
      </c>
      <c r="CY28" s="269">
        <f t="shared" si="49"/>
        <v>2191318</v>
      </c>
      <c r="CZ28" s="269">
        <f t="shared" si="49"/>
        <v>2407762</v>
      </c>
      <c r="DA28" s="1488">
        <f t="shared" si="49"/>
        <v>2191318</v>
      </c>
    </row>
    <row r="29" spans="1:105" ht="16.5">
      <c r="A29" s="253" t="s">
        <v>101</v>
      </c>
      <c r="B29" s="254">
        <v>-449</v>
      </c>
      <c r="C29" s="255">
        <v>103</v>
      </c>
      <c r="D29" s="1196">
        <f t="shared" si="2"/>
        <v>-449</v>
      </c>
      <c r="E29" s="1197">
        <f t="shared" si="3"/>
        <v>103</v>
      </c>
      <c r="F29" s="257"/>
      <c r="G29" s="258"/>
      <c r="H29" s="1196">
        <f t="shared" si="4"/>
        <v>0</v>
      </c>
      <c r="I29" s="1197">
        <f t="shared" si="5"/>
        <v>0</v>
      </c>
      <c r="J29" s="257"/>
      <c r="K29" s="258"/>
      <c r="L29" s="1196">
        <f t="shared" si="6"/>
        <v>0</v>
      </c>
      <c r="M29" s="1197">
        <f t="shared" si="7"/>
        <v>0</v>
      </c>
      <c r="N29" s="257"/>
      <c r="O29" s="258"/>
      <c r="P29" s="1196">
        <f t="shared" si="8"/>
        <v>0</v>
      </c>
      <c r="Q29" s="1197">
        <f t="shared" si="9"/>
        <v>0</v>
      </c>
      <c r="R29" s="257"/>
      <c r="S29" s="258"/>
      <c r="T29" s="1196">
        <f t="shared" si="10"/>
        <v>0</v>
      </c>
      <c r="U29" s="1197">
        <f t="shared" si="11"/>
        <v>0</v>
      </c>
      <c r="V29" s="257"/>
      <c r="W29" s="258"/>
      <c r="X29" s="1196">
        <f t="shared" si="12"/>
        <v>0</v>
      </c>
      <c r="Y29" s="1197">
        <f t="shared" si="13"/>
        <v>0</v>
      </c>
      <c r="Z29" s="257">
        <v>-141</v>
      </c>
      <c r="AA29" s="258">
        <v>-128</v>
      </c>
      <c r="AB29" s="1196">
        <f t="shared" si="14"/>
        <v>-141</v>
      </c>
      <c r="AC29" s="1197">
        <f t="shared" si="15"/>
        <v>-128</v>
      </c>
      <c r="AD29" s="257">
        <v>119</v>
      </c>
      <c r="AE29" s="258">
        <v>-417</v>
      </c>
      <c r="AF29" s="1196">
        <f t="shared" si="16"/>
        <v>119</v>
      </c>
      <c r="AG29" s="1197">
        <f t="shared" si="17"/>
        <v>-417</v>
      </c>
      <c r="AH29" s="257"/>
      <c r="AI29" s="258"/>
      <c r="AJ29" s="1196">
        <f t="shared" si="18"/>
        <v>0</v>
      </c>
      <c r="AK29" s="1197">
        <f t="shared" si="19"/>
        <v>0</v>
      </c>
      <c r="AL29" s="257"/>
      <c r="AM29" s="258"/>
      <c r="AN29" s="1196">
        <f t="shared" si="20"/>
        <v>0</v>
      </c>
      <c r="AO29" s="1197">
        <f t="shared" si="21"/>
        <v>0</v>
      </c>
      <c r="AP29" s="257"/>
      <c r="AQ29" s="258"/>
      <c r="AR29" s="1196">
        <f t="shared" si="22"/>
        <v>0</v>
      </c>
      <c r="AS29" s="1197">
        <f t="shared" si="23"/>
        <v>0</v>
      </c>
      <c r="AT29" s="257"/>
      <c r="AU29" s="258"/>
      <c r="AV29" s="1196">
        <f t="shared" si="24"/>
        <v>0</v>
      </c>
      <c r="AW29" s="1197">
        <f t="shared" si="25"/>
        <v>0</v>
      </c>
      <c r="AX29" s="1032"/>
      <c r="AY29" s="260"/>
      <c r="AZ29" s="1196">
        <f t="shared" si="26"/>
        <v>0</v>
      </c>
      <c r="BA29" s="1197">
        <f t="shared" si="27"/>
        <v>0</v>
      </c>
      <c r="BB29" s="257"/>
      <c r="BC29" s="258"/>
      <c r="BD29" s="1196">
        <f t="shared" si="28"/>
        <v>0</v>
      </c>
      <c r="BE29" s="1197">
        <f t="shared" si="29"/>
        <v>0</v>
      </c>
      <c r="BF29" s="257"/>
      <c r="BG29" s="705"/>
      <c r="BH29" s="1196">
        <f t="shared" si="30"/>
        <v>0</v>
      </c>
      <c r="BI29" s="1197">
        <f t="shared" si="31"/>
        <v>0</v>
      </c>
      <c r="BJ29" s="635"/>
      <c r="BK29" s="263"/>
      <c r="BL29" s="1196">
        <f t="shared" si="32"/>
        <v>0</v>
      </c>
      <c r="BM29" s="1197">
        <f t="shared" si="33"/>
        <v>0</v>
      </c>
      <c r="BN29" s="257"/>
      <c r="BO29" s="258"/>
      <c r="BP29" s="1196">
        <f t="shared" si="34"/>
        <v>0</v>
      </c>
      <c r="BQ29" s="1196">
        <f t="shared" si="35"/>
        <v>0</v>
      </c>
      <c r="BR29" s="257"/>
      <c r="BS29" s="258"/>
      <c r="BT29" s="1196">
        <f t="shared" si="36"/>
        <v>0</v>
      </c>
      <c r="BU29" s="1197">
        <f t="shared" si="37"/>
        <v>0</v>
      </c>
      <c r="BV29" s="261"/>
      <c r="BW29" s="258"/>
      <c r="BX29" s="258"/>
      <c r="BY29" s="259"/>
      <c r="BZ29" s="1203"/>
      <c r="CA29" s="1204"/>
      <c r="CB29" s="1201">
        <f t="shared" si="38"/>
        <v>0</v>
      </c>
      <c r="CC29" s="1202">
        <f t="shared" si="39"/>
        <v>0</v>
      </c>
      <c r="CD29" s="635"/>
      <c r="CE29" s="263"/>
      <c r="CF29" s="1196">
        <f t="shared" si="40"/>
        <v>0</v>
      </c>
      <c r="CG29" s="1197">
        <f t="shared" si="41"/>
        <v>0</v>
      </c>
      <c r="CH29" s="1034"/>
      <c r="CI29" s="266"/>
      <c r="CJ29" s="1196">
        <f t="shared" si="42"/>
        <v>0</v>
      </c>
      <c r="CK29" s="1197">
        <f t="shared" si="43"/>
        <v>0</v>
      </c>
      <c r="CL29" s="257"/>
      <c r="CM29" s="258"/>
      <c r="CN29" s="1196">
        <f t="shared" si="44"/>
        <v>0</v>
      </c>
      <c r="CO29" s="1197">
        <f t="shared" si="45"/>
        <v>0</v>
      </c>
      <c r="CP29" s="1635">
        <f t="shared" si="46"/>
        <v>-471</v>
      </c>
      <c r="CQ29" s="269">
        <f t="shared" si="46"/>
        <v>-442</v>
      </c>
      <c r="CR29" s="269">
        <f t="shared" si="46"/>
        <v>-471</v>
      </c>
      <c r="CS29" s="1488">
        <f t="shared" si="46"/>
        <v>-442</v>
      </c>
      <c r="CT29" s="1034"/>
      <c r="CU29" s="266"/>
      <c r="CV29" s="1196">
        <f t="shared" si="47"/>
        <v>0</v>
      </c>
      <c r="CW29" s="1197">
        <f t="shared" si="48"/>
        <v>0</v>
      </c>
      <c r="CX29" s="1635">
        <f t="shared" si="49"/>
        <v>-471</v>
      </c>
      <c r="CY29" s="269">
        <f t="shared" si="49"/>
        <v>-442</v>
      </c>
      <c r="CZ29" s="269">
        <f t="shared" si="49"/>
        <v>-471</v>
      </c>
      <c r="DA29" s="1488">
        <f t="shared" si="49"/>
        <v>-442</v>
      </c>
    </row>
    <row r="30" spans="1:105" ht="16.5">
      <c r="A30" s="253" t="s">
        <v>102</v>
      </c>
      <c r="B30" s="254">
        <v>102436</v>
      </c>
      <c r="C30" s="255">
        <v>100262</v>
      </c>
      <c r="D30" s="1196">
        <f t="shared" si="2"/>
        <v>102436</v>
      </c>
      <c r="E30" s="1197">
        <f t="shared" si="3"/>
        <v>100262</v>
      </c>
      <c r="F30" s="257"/>
      <c r="G30" s="258"/>
      <c r="H30" s="1196">
        <f t="shared" si="4"/>
        <v>0</v>
      </c>
      <c r="I30" s="1197">
        <f t="shared" si="5"/>
        <v>0</v>
      </c>
      <c r="J30" s="257"/>
      <c r="K30" s="258"/>
      <c r="L30" s="1196">
        <f t="shared" si="6"/>
        <v>0</v>
      </c>
      <c r="M30" s="1197">
        <f t="shared" si="7"/>
        <v>0</v>
      </c>
      <c r="N30" s="257"/>
      <c r="O30" s="258"/>
      <c r="P30" s="1196">
        <f t="shared" si="8"/>
        <v>0</v>
      </c>
      <c r="Q30" s="1197">
        <f t="shared" si="9"/>
        <v>0</v>
      </c>
      <c r="R30" s="257"/>
      <c r="S30" s="258"/>
      <c r="T30" s="1196">
        <f t="shared" si="10"/>
        <v>0</v>
      </c>
      <c r="U30" s="1197">
        <f t="shared" si="11"/>
        <v>0</v>
      </c>
      <c r="V30" s="257"/>
      <c r="W30" s="258"/>
      <c r="X30" s="1196">
        <f t="shared" si="12"/>
        <v>0</v>
      </c>
      <c r="Y30" s="1197">
        <f t="shared" si="13"/>
        <v>0</v>
      </c>
      <c r="Z30" s="257">
        <v>8168</v>
      </c>
      <c r="AA30" s="258">
        <v>9601</v>
      </c>
      <c r="AB30" s="1196">
        <f t="shared" si="14"/>
        <v>8168</v>
      </c>
      <c r="AC30" s="1197">
        <f t="shared" si="15"/>
        <v>9601</v>
      </c>
      <c r="AD30" s="257"/>
      <c r="AE30" s="258"/>
      <c r="AF30" s="1196">
        <f t="shared" si="16"/>
        <v>0</v>
      </c>
      <c r="AG30" s="1197">
        <f t="shared" si="17"/>
        <v>0</v>
      </c>
      <c r="AH30" s="257"/>
      <c r="AI30" s="258"/>
      <c r="AJ30" s="1196">
        <f t="shared" si="18"/>
        <v>0</v>
      </c>
      <c r="AK30" s="1197">
        <f t="shared" si="19"/>
        <v>0</v>
      </c>
      <c r="AL30" s="257"/>
      <c r="AM30" s="258"/>
      <c r="AN30" s="1196">
        <f t="shared" si="20"/>
        <v>0</v>
      </c>
      <c r="AO30" s="1197">
        <f t="shared" si="21"/>
        <v>0</v>
      </c>
      <c r="AP30" s="257"/>
      <c r="AQ30" s="258"/>
      <c r="AR30" s="1196">
        <f t="shared" si="22"/>
        <v>0</v>
      </c>
      <c r="AS30" s="1197">
        <f t="shared" si="23"/>
        <v>0</v>
      </c>
      <c r="AT30" s="257"/>
      <c r="AU30" s="258"/>
      <c r="AV30" s="1196">
        <f t="shared" si="24"/>
        <v>0</v>
      </c>
      <c r="AW30" s="1197">
        <f t="shared" si="25"/>
        <v>0</v>
      </c>
      <c r="AX30" s="1032"/>
      <c r="AY30" s="260"/>
      <c r="AZ30" s="1196">
        <f t="shared" si="26"/>
        <v>0</v>
      </c>
      <c r="BA30" s="1197">
        <f t="shared" si="27"/>
        <v>0</v>
      </c>
      <c r="BB30" s="257"/>
      <c r="BC30" s="258"/>
      <c r="BD30" s="1196">
        <f t="shared" si="28"/>
        <v>0</v>
      </c>
      <c r="BE30" s="1197">
        <f t="shared" si="29"/>
        <v>0</v>
      </c>
      <c r="BF30" s="257"/>
      <c r="BG30" s="705"/>
      <c r="BH30" s="1196">
        <f t="shared" si="30"/>
        <v>0</v>
      </c>
      <c r="BI30" s="1197">
        <f t="shared" si="31"/>
        <v>0</v>
      </c>
      <c r="BJ30" s="635"/>
      <c r="BK30" s="263"/>
      <c r="BL30" s="1196">
        <f t="shared" si="32"/>
        <v>0</v>
      </c>
      <c r="BM30" s="1197">
        <f t="shared" si="33"/>
        <v>0</v>
      </c>
      <c r="BN30" s="257"/>
      <c r="BO30" s="258"/>
      <c r="BP30" s="1196">
        <f t="shared" si="34"/>
        <v>0</v>
      </c>
      <c r="BQ30" s="1196">
        <f t="shared" si="35"/>
        <v>0</v>
      </c>
      <c r="BR30" s="257"/>
      <c r="BS30" s="258"/>
      <c r="BT30" s="1196">
        <f t="shared" si="36"/>
        <v>0</v>
      </c>
      <c r="BU30" s="1197">
        <f t="shared" si="37"/>
        <v>0</v>
      </c>
      <c r="BV30" s="261"/>
      <c r="BW30" s="258"/>
      <c r="BX30" s="258"/>
      <c r="BY30" s="259"/>
      <c r="BZ30" s="1203"/>
      <c r="CA30" s="1204"/>
      <c r="CB30" s="1201">
        <f t="shared" si="38"/>
        <v>0</v>
      </c>
      <c r="CC30" s="1202">
        <f t="shared" si="39"/>
        <v>0</v>
      </c>
      <c r="CD30" s="635"/>
      <c r="CE30" s="263"/>
      <c r="CF30" s="1196">
        <f t="shared" si="40"/>
        <v>0</v>
      </c>
      <c r="CG30" s="1197">
        <f t="shared" si="41"/>
        <v>0</v>
      </c>
      <c r="CH30" s="1034"/>
      <c r="CI30" s="266"/>
      <c r="CJ30" s="1196">
        <f t="shared" si="42"/>
        <v>0</v>
      </c>
      <c r="CK30" s="1197">
        <f t="shared" si="43"/>
        <v>0</v>
      </c>
      <c r="CL30" s="257"/>
      <c r="CM30" s="258"/>
      <c r="CN30" s="1196">
        <f t="shared" si="44"/>
        <v>0</v>
      </c>
      <c r="CO30" s="1197">
        <f t="shared" si="45"/>
        <v>0</v>
      </c>
      <c r="CP30" s="1635">
        <f t="shared" si="46"/>
        <v>110604</v>
      </c>
      <c r="CQ30" s="269">
        <f t="shared" si="46"/>
        <v>109863</v>
      </c>
      <c r="CR30" s="269">
        <f t="shared" si="46"/>
        <v>110604</v>
      </c>
      <c r="CS30" s="1488">
        <f t="shared" si="46"/>
        <v>109863</v>
      </c>
      <c r="CT30" s="1034"/>
      <c r="CU30" s="266"/>
      <c r="CV30" s="1196">
        <f t="shared" si="47"/>
        <v>0</v>
      </c>
      <c r="CW30" s="1197">
        <f t="shared" si="48"/>
        <v>0</v>
      </c>
      <c r="CX30" s="1635">
        <f t="shared" si="49"/>
        <v>110604</v>
      </c>
      <c r="CY30" s="269">
        <f t="shared" si="49"/>
        <v>109863</v>
      </c>
      <c r="CZ30" s="269">
        <f t="shared" si="49"/>
        <v>110604</v>
      </c>
      <c r="DA30" s="1488">
        <f t="shared" si="49"/>
        <v>109863</v>
      </c>
    </row>
    <row r="31" spans="1:105" ht="16.5">
      <c r="A31" s="253" t="s">
        <v>103</v>
      </c>
      <c r="B31" s="254"/>
      <c r="C31" s="255"/>
      <c r="D31" s="1196">
        <f t="shared" si="2"/>
        <v>0</v>
      </c>
      <c r="E31" s="1197">
        <f t="shared" si="3"/>
        <v>0</v>
      </c>
      <c r="F31" s="257">
        <v>13061</v>
      </c>
      <c r="G31" s="258">
        <v>16040</v>
      </c>
      <c r="H31" s="1196">
        <f t="shared" si="4"/>
        <v>13061</v>
      </c>
      <c r="I31" s="1197">
        <f t="shared" si="5"/>
        <v>16040</v>
      </c>
      <c r="J31" s="257"/>
      <c r="K31" s="258"/>
      <c r="L31" s="1196">
        <f t="shared" si="6"/>
        <v>0</v>
      </c>
      <c r="M31" s="1197">
        <f t="shared" si="7"/>
        <v>0</v>
      </c>
      <c r="N31" s="257">
        <v>181337</v>
      </c>
      <c r="O31" s="270">
        <v>24014</v>
      </c>
      <c r="P31" s="1196">
        <f t="shared" si="8"/>
        <v>181337</v>
      </c>
      <c r="Q31" s="1197">
        <f t="shared" si="9"/>
        <v>24014</v>
      </c>
      <c r="R31" s="257"/>
      <c r="S31" s="258"/>
      <c r="T31" s="1196">
        <f t="shared" si="10"/>
        <v>0</v>
      </c>
      <c r="U31" s="1197">
        <f t="shared" si="11"/>
        <v>0</v>
      </c>
      <c r="V31" s="257"/>
      <c r="W31" s="258"/>
      <c r="X31" s="1196">
        <f t="shared" si="12"/>
        <v>0</v>
      </c>
      <c r="Y31" s="1197">
        <f t="shared" si="13"/>
        <v>0</v>
      </c>
      <c r="Z31" s="257">
        <v>3566</v>
      </c>
      <c r="AA31" s="258">
        <v>179313</v>
      </c>
      <c r="AB31" s="1196">
        <f t="shared" si="14"/>
        <v>3566</v>
      </c>
      <c r="AC31" s="1197">
        <f t="shared" si="15"/>
        <v>179313</v>
      </c>
      <c r="AD31" s="257">
        <v>52038</v>
      </c>
      <c r="AE31" s="258">
        <v>60863</v>
      </c>
      <c r="AF31" s="1196">
        <f t="shared" si="16"/>
        <v>52038</v>
      </c>
      <c r="AG31" s="1197">
        <f t="shared" si="17"/>
        <v>60863</v>
      </c>
      <c r="AH31" s="257">
        <v>492253</v>
      </c>
      <c r="AI31" s="258">
        <v>416608</v>
      </c>
      <c r="AJ31" s="1196">
        <f t="shared" si="18"/>
        <v>492253</v>
      </c>
      <c r="AK31" s="1197">
        <f t="shared" si="19"/>
        <v>416608</v>
      </c>
      <c r="AL31" s="257"/>
      <c r="AM31" s="258"/>
      <c r="AN31" s="1196">
        <f t="shared" si="20"/>
        <v>0</v>
      </c>
      <c r="AO31" s="1197">
        <f t="shared" si="21"/>
        <v>0</v>
      </c>
      <c r="AP31" s="257">
        <v>913010</v>
      </c>
      <c r="AQ31" s="258">
        <v>836301</v>
      </c>
      <c r="AR31" s="1196">
        <f t="shared" si="22"/>
        <v>913010</v>
      </c>
      <c r="AS31" s="1197">
        <f t="shared" si="23"/>
        <v>836301</v>
      </c>
      <c r="AT31" s="257">
        <v>336198</v>
      </c>
      <c r="AU31" s="258">
        <v>396281</v>
      </c>
      <c r="AV31" s="1196">
        <f t="shared" si="24"/>
        <v>336198</v>
      </c>
      <c r="AW31" s="1197">
        <f t="shared" si="25"/>
        <v>396281</v>
      </c>
      <c r="AX31" s="1032">
        <v>28142</v>
      </c>
      <c r="AY31" s="260">
        <v>52500</v>
      </c>
      <c r="AZ31" s="1196">
        <f t="shared" si="26"/>
        <v>28142</v>
      </c>
      <c r="BA31" s="1197">
        <f t="shared" si="27"/>
        <v>52500</v>
      </c>
      <c r="BB31" s="257"/>
      <c r="BC31" s="258"/>
      <c r="BD31" s="1196">
        <f t="shared" si="28"/>
        <v>0</v>
      </c>
      <c r="BE31" s="1197">
        <f t="shared" si="29"/>
        <v>0</v>
      </c>
      <c r="BF31" s="257">
        <v>176783</v>
      </c>
      <c r="BG31" s="705">
        <v>251206</v>
      </c>
      <c r="BH31" s="1196">
        <f t="shared" si="30"/>
        <v>176783</v>
      </c>
      <c r="BI31" s="1197">
        <f t="shared" si="31"/>
        <v>251206</v>
      </c>
      <c r="BJ31" s="635"/>
      <c r="BK31" s="263"/>
      <c r="BL31" s="1196">
        <f t="shared" si="32"/>
        <v>0</v>
      </c>
      <c r="BM31" s="1197">
        <f t="shared" si="33"/>
        <v>0</v>
      </c>
      <c r="BN31" s="257">
        <v>174865</v>
      </c>
      <c r="BO31" s="258">
        <v>123563</v>
      </c>
      <c r="BP31" s="1196">
        <f t="shared" si="34"/>
        <v>174865</v>
      </c>
      <c r="BQ31" s="1196">
        <f t="shared" si="35"/>
        <v>123563</v>
      </c>
      <c r="BR31" s="257">
        <v>97782</v>
      </c>
      <c r="BS31" s="258">
        <v>93356</v>
      </c>
      <c r="BT31" s="1196">
        <f t="shared" si="36"/>
        <v>97782</v>
      </c>
      <c r="BU31" s="1197">
        <f t="shared" si="37"/>
        <v>93356</v>
      </c>
      <c r="BV31" s="261"/>
      <c r="BW31" s="258"/>
      <c r="BX31" s="258"/>
      <c r="BY31" s="259"/>
      <c r="BZ31" s="1203">
        <v>75000</v>
      </c>
      <c r="CA31" s="1204">
        <v>12070</v>
      </c>
      <c r="CB31" s="1201">
        <f t="shared" si="38"/>
        <v>75000</v>
      </c>
      <c r="CC31" s="1202">
        <f t="shared" si="39"/>
        <v>12070</v>
      </c>
      <c r="CD31" s="635"/>
      <c r="CE31" s="263"/>
      <c r="CF31" s="1196">
        <f t="shared" si="40"/>
        <v>0</v>
      </c>
      <c r="CG31" s="1197">
        <f t="shared" si="41"/>
        <v>0</v>
      </c>
      <c r="CH31" s="1034">
        <v>30077</v>
      </c>
      <c r="CI31" s="266">
        <v>38165</v>
      </c>
      <c r="CJ31" s="1196">
        <f t="shared" si="42"/>
        <v>30077</v>
      </c>
      <c r="CK31" s="1197">
        <f t="shared" si="43"/>
        <v>38165</v>
      </c>
      <c r="CL31" s="257">
        <v>114824</v>
      </c>
      <c r="CM31" s="258">
        <v>63539</v>
      </c>
      <c r="CN31" s="1196">
        <f t="shared" si="44"/>
        <v>114824</v>
      </c>
      <c r="CO31" s="1197">
        <f t="shared" si="45"/>
        <v>63539</v>
      </c>
      <c r="CP31" s="1635">
        <f t="shared" si="46"/>
        <v>2688936</v>
      </c>
      <c r="CQ31" s="269">
        <f t="shared" si="46"/>
        <v>2563819</v>
      </c>
      <c r="CR31" s="269">
        <f t="shared" si="46"/>
        <v>2688936</v>
      </c>
      <c r="CS31" s="1488">
        <f t="shared" si="46"/>
        <v>2563819</v>
      </c>
      <c r="CT31" s="1034">
        <v>5488856</v>
      </c>
      <c r="CU31" s="266">
        <v>5229703</v>
      </c>
      <c r="CV31" s="1196">
        <f t="shared" si="47"/>
        <v>5488856</v>
      </c>
      <c r="CW31" s="1197">
        <f t="shared" si="48"/>
        <v>5229703</v>
      </c>
      <c r="CX31" s="1635">
        <f t="shared" si="49"/>
        <v>8177792</v>
      </c>
      <c r="CY31" s="269">
        <f t="shared" si="49"/>
        <v>7793522</v>
      </c>
      <c r="CZ31" s="269">
        <f t="shared" si="49"/>
        <v>8177792</v>
      </c>
      <c r="DA31" s="1488">
        <f t="shared" si="49"/>
        <v>7793522</v>
      </c>
    </row>
    <row r="32" spans="1:105" ht="16.5">
      <c r="A32" s="253" t="s">
        <v>104</v>
      </c>
      <c r="B32" s="254"/>
      <c r="C32" s="255"/>
      <c r="D32" s="1196">
        <f t="shared" si="2"/>
        <v>0</v>
      </c>
      <c r="E32" s="1197">
        <f t="shared" si="3"/>
        <v>0</v>
      </c>
      <c r="F32" s="257">
        <v>24205</v>
      </c>
      <c r="G32" s="258">
        <v>23622</v>
      </c>
      <c r="H32" s="1196">
        <f t="shared" si="4"/>
        <v>24205</v>
      </c>
      <c r="I32" s="1197">
        <f t="shared" si="5"/>
        <v>23622</v>
      </c>
      <c r="J32" s="257"/>
      <c r="K32" s="258"/>
      <c r="L32" s="1196">
        <f t="shared" si="6"/>
        <v>0</v>
      </c>
      <c r="M32" s="1197">
        <f t="shared" si="7"/>
        <v>0</v>
      </c>
      <c r="N32" s="257"/>
      <c r="O32" s="258"/>
      <c r="P32" s="1196">
        <f t="shared" si="8"/>
        <v>0</v>
      </c>
      <c r="Q32" s="1197">
        <f t="shared" si="9"/>
        <v>0</v>
      </c>
      <c r="R32" s="257"/>
      <c r="S32" s="258"/>
      <c r="T32" s="1196">
        <f t="shared" si="10"/>
        <v>0</v>
      </c>
      <c r="U32" s="1197">
        <f t="shared" si="11"/>
        <v>0</v>
      </c>
      <c r="V32" s="257"/>
      <c r="W32" s="258"/>
      <c r="X32" s="1196">
        <f t="shared" si="12"/>
        <v>0</v>
      </c>
      <c r="Y32" s="1197">
        <f t="shared" si="13"/>
        <v>0</v>
      </c>
      <c r="Z32" s="257"/>
      <c r="AA32" s="258"/>
      <c r="AB32" s="1196">
        <f t="shared" si="14"/>
        <v>0</v>
      </c>
      <c r="AC32" s="1197">
        <f t="shared" si="15"/>
        <v>0</v>
      </c>
      <c r="AD32" s="257">
        <v>50267</v>
      </c>
      <c r="AE32" s="258">
        <v>35563</v>
      </c>
      <c r="AF32" s="1196">
        <f t="shared" si="16"/>
        <v>50267</v>
      </c>
      <c r="AG32" s="1197">
        <f t="shared" si="17"/>
        <v>35563</v>
      </c>
      <c r="AH32" s="257"/>
      <c r="AI32" s="258"/>
      <c r="AJ32" s="1196">
        <f t="shared" si="18"/>
        <v>0</v>
      </c>
      <c r="AK32" s="1197">
        <f t="shared" si="19"/>
        <v>0</v>
      </c>
      <c r="AL32" s="257"/>
      <c r="AM32" s="258"/>
      <c r="AN32" s="1196">
        <f t="shared" si="20"/>
        <v>0</v>
      </c>
      <c r="AO32" s="1197">
        <f t="shared" si="21"/>
        <v>0</v>
      </c>
      <c r="AP32" s="257"/>
      <c r="AQ32" s="258"/>
      <c r="AR32" s="1196">
        <f t="shared" si="22"/>
        <v>0</v>
      </c>
      <c r="AS32" s="1197">
        <f t="shared" si="23"/>
        <v>0</v>
      </c>
      <c r="AT32" s="257"/>
      <c r="AU32" s="258"/>
      <c r="AV32" s="1196">
        <f t="shared" si="24"/>
        <v>0</v>
      </c>
      <c r="AW32" s="1197">
        <f t="shared" si="25"/>
        <v>0</v>
      </c>
      <c r="AX32" s="1032"/>
      <c r="AY32" s="260"/>
      <c r="AZ32" s="1196">
        <f t="shared" si="26"/>
        <v>0</v>
      </c>
      <c r="BA32" s="1197">
        <f t="shared" si="27"/>
        <v>0</v>
      </c>
      <c r="BB32" s="257"/>
      <c r="BC32" s="258"/>
      <c r="BD32" s="1196">
        <f t="shared" si="28"/>
        <v>0</v>
      </c>
      <c r="BE32" s="1197">
        <f t="shared" si="29"/>
        <v>0</v>
      </c>
      <c r="BF32" s="257">
        <v>31899</v>
      </c>
      <c r="BG32" s="705">
        <v>5498</v>
      </c>
      <c r="BH32" s="1196">
        <f t="shared" si="30"/>
        <v>31899</v>
      </c>
      <c r="BI32" s="1197">
        <f t="shared" si="31"/>
        <v>5498</v>
      </c>
      <c r="BJ32" s="635"/>
      <c r="BK32" s="263"/>
      <c r="BL32" s="1196">
        <f t="shared" si="32"/>
        <v>0</v>
      </c>
      <c r="BM32" s="1197">
        <f t="shared" si="33"/>
        <v>0</v>
      </c>
      <c r="BN32" s="257"/>
      <c r="BO32" s="258"/>
      <c r="BP32" s="1196">
        <f t="shared" si="34"/>
        <v>0</v>
      </c>
      <c r="BQ32" s="1196">
        <f t="shared" si="35"/>
        <v>0</v>
      </c>
      <c r="BR32" s="257">
        <v>57506</v>
      </c>
      <c r="BS32" s="258">
        <v>66609</v>
      </c>
      <c r="BT32" s="1196">
        <f t="shared" si="36"/>
        <v>57506</v>
      </c>
      <c r="BU32" s="1197">
        <f t="shared" si="37"/>
        <v>66609</v>
      </c>
      <c r="BV32" s="261"/>
      <c r="BW32" s="258"/>
      <c r="BX32" s="258"/>
      <c r="BY32" s="259"/>
      <c r="BZ32" s="1203"/>
      <c r="CA32" s="1204"/>
      <c r="CB32" s="1201">
        <f t="shared" si="38"/>
        <v>0</v>
      </c>
      <c r="CC32" s="1202">
        <f t="shared" si="39"/>
        <v>0</v>
      </c>
      <c r="CD32" s="635"/>
      <c r="CE32" s="263"/>
      <c r="CF32" s="1196">
        <f t="shared" si="40"/>
        <v>0</v>
      </c>
      <c r="CG32" s="1197">
        <f t="shared" si="41"/>
        <v>0</v>
      </c>
      <c r="CH32" s="1034"/>
      <c r="CI32" s="266"/>
      <c r="CJ32" s="1196">
        <f t="shared" si="42"/>
        <v>0</v>
      </c>
      <c r="CK32" s="1197">
        <f t="shared" si="43"/>
        <v>0</v>
      </c>
      <c r="CL32" s="257">
        <v>212</v>
      </c>
      <c r="CM32" s="258">
        <v>1658</v>
      </c>
      <c r="CN32" s="1196">
        <f t="shared" si="44"/>
        <v>212</v>
      </c>
      <c r="CO32" s="1197">
        <f t="shared" si="45"/>
        <v>1658</v>
      </c>
      <c r="CP32" s="1635">
        <f t="shared" si="46"/>
        <v>164089</v>
      </c>
      <c r="CQ32" s="269">
        <f t="shared" si="46"/>
        <v>132950</v>
      </c>
      <c r="CR32" s="269">
        <f t="shared" si="46"/>
        <v>164089</v>
      </c>
      <c r="CS32" s="1488">
        <f t="shared" si="46"/>
        <v>132950</v>
      </c>
      <c r="CT32" s="1034"/>
      <c r="CU32" s="266"/>
      <c r="CV32" s="1196">
        <f t="shared" si="47"/>
        <v>0</v>
      </c>
      <c r="CW32" s="1197">
        <f t="shared" si="48"/>
        <v>0</v>
      </c>
      <c r="CX32" s="1635">
        <f t="shared" si="49"/>
        <v>164089</v>
      </c>
      <c r="CY32" s="269">
        <f t="shared" si="49"/>
        <v>132950</v>
      </c>
      <c r="CZ32" s="269">
        <f t="shared" si="49"/>
        <v>164089</v>
      </c>
      <c r="DA32" s="1488">
        <f t="shared" si="49"/>
        <v>132950</v>
      </c>
    </row>
    <row r="33" spans="1:105" ht="16.5">
      <c r="A33" s="253" t="s">
        <v>105</v>
      </c>
      <c r="B33" s="254"/>
      <c r="C33" s="255"/>
      <c r="D33" s="1196">
        <f t="shared" si="2"/>
        <v>0</v>
      </c>
      <c r="E33" s="1197">
        <f t="shared" si="3"/>
        <v>0</v>
      </c>
      <c r="F33" s="257">
        <v>5159</v>
      </c>
      <c r="G33" s="258">
        <v>6476</v>
      </c>
      <c r="H33" s="1196">
        <f t="shared" si="4"/>
        <v>5159</v>
      </c>
      <c r="I33" s="1197">
        <f t="shared" si="5"/>
        <v>6476</v>
      </c>
      <c r="J33" s="257"/>
      <c r="K33" s="258"/>
      <c r="L33" s="1196">
        <f t="shared" si="6"/>
        <v>0</v>
      </c>
      <c r="M33" s="1197">
        <f t="shared" si="7"/>
        <v>0</v>
      </c>
      <c r="N33" s="257"/>
      <c r="O33" s="258"/>
      <c r="P33" s="1196">
        <f t="shared" si="8"/>
        <v>0</v>
      </c>
      <c r="Q33" s="1197">
        <f t="shared" si="9"/>
        <v>0</v>
      </c>
      <c r="R33" s="257">
        <f>17986+13665+3725+6606</f>
        <v>41982</v>
      </c>
      <c r="S33" s="258">
        <f>11211+7516+3696+3771</f>
        <v>26194</v>
      </c>
      <c r="T33" s="1196">
        <f t="shared" si="10"/>
        <v>41982</v>
      </c>
      <c r="U33" s="1197">
        <f t="shared" si="11"/>
        <v>26194</v>
      </c>
      <c r="V33" s="257"/>
      <c r="W33" s="258"/>
      <c r="X33" s="1196">
        <f t="shared" si="12"/>
        <v>0</v>
      </c>
      <c r="Y33" s="1197">
        <f t="shared" si="13"/>
        <v>0</v>
      </c>
      <c r="Z33" s="257"/>
      <c r="AA33" s="258"/>
      <c r="AB33" s="1196">
        <f t="shared" si="14"/>
        <v>0</v>
      </c>
      <c r="AC33" s="1197">
        <f t="shared" si="15"/>
        <v>0</v>
      </c>
      <c r="AD33" s="257">
        <v>7015</v>
      </c>
      <c r="AE33" s="258">
        <v>5731</v>
      </c>
      <c r="AF33" s="1196">
        <f t="shared" si="16"/>
        <v>7015</v>
      </c>
      <c r="AG33" s="1197">
        <f t="shared" si="17"/>
        <v>5731</v>
      </c>
      <c r="AH33" s="257"/>
      <c r="AI33" s="258"/>
      <c r="AJ33" s="1196">
        <f t="shared" si="18"/>
        <v>0</v>
      </c>
      <c r="AK33" s="1197">
        <f t="shared" si="19"/>
        <v>0</v>
      </c>
      <c r="AL33" s="257"/>
      <c r="AM33" s="258"/>
      <c r="AN33" s="1196">
        <f t="shared" si="20"/>
        <v>0</v>
      </c>
      <c r="AO33" s="1197">
        <f t="shared" si="21"/>
        <v>0</v>
      </c>
      <c r="AP33" s="257"/>
      <c r="AQ33" s="258"/>
      <c r="AR33" s="1196">
        <f t="shared" si="22"/>
        <v>0</v>
      </c>
      <c r="AS33" s="1197">
        <f t="shared" si="23"/>
        <v>0</v>
      </c>
      <c r="AT33" s="257">
        <v>60013</v>
      </c>
      <c r="AU33" s="258">
        <v>59994</v>
      </c>
      <c r="AV33" s="1196">
        <f t="shared" si="24"/>
        <v>60013</v>
      </c>
      <c r="AW33" s="1197">
        <f t="shared" si="25"/>
        <v>59994</v>
      </c>
      <c r="AX33" s="1032"/>
      <c r="AY33" s="260"/>
      <c r="AZ33" s="1196">
        <f t="shared" si="26"/>
        <v>0</v>
      </c>
      <c r="BA33" s="1197">
        <f t="shared" si="27"/>
        <v>0</v>
      </c>
      <c r="BB33" s="257">
        <v>7715</v>
      </c>
      <c r="BC33" s="258">
        <v>7830</v>
      </c>
      <c r="BD33" s="1196">
        <f t="shared" si="28"/>
        <v>7715</v>
      </c>
      <c r="BE33" s="1197">
        <f t="shared" si="29"/>
        <v>7830</v>
      </c>
      <c r="BF33" s="257">
        <v>90879</v>
      </c>
      <c r="BG33" s="705">
        <v>114928</v>
      </c>
      <c r="BH33" s="1196">
        <f t="shared" si="30"/>
        <v>90879</v>
      </c>
      <c r="BI33" s="1197">
        <f t="shared" si="31"/>
        <v>114928</v>
      </c>
      <c r="BJ33" s="635">
        <v>3864</v>
      </c>
      <c r="BK33" s="263">
        <v>2724</v>
      </c>
      <c r="BL33" s="1196">
        <f t="shared" si="32"/>
        <v>3864</v>
      </c>
      <c r="BM33" s="1197">
        <f t="shared" si="33"/>
        <v>2724</v>
      </c>
      <c r="BN33" s="257">
        <v>33990</v>
      </c>
      <c r="BO33" s="258">
        <v>32690</v>
      </c>
      <c r="BP33" s="1196">
        <f t="shared" si="34"/>
        <v>33990</v>
      </c>
      <c r="BQ33" s="1196">
        <f t="shared" si="35"/>
        <v>32690</v>
      </c>
      <c r="BR33" s="257"/>
      <c r="BS33" s="258"/>
      <c r="BT33" s="1196">
        <f t="shared" si="36"/>
        <v>0</v>
      </c>
      <c r="BU33" s="1197">
        <f t="shared" si="37"/>
        <v>0</v>
      </c>
      <c r="BV33" s="261"/>
      <c r="BW33" s="258"/>
      <c r="BX33" s="258"/>
      <c r="BY33" s="259"/>
      <c r="BZ33" s="1203"/>
      <c r="CA33" s="1204"/>
      <c r="CB33" s="1201">
        <f t="shared" si="38"/>
        <v>0</v>
      </c>
      <c r="CC33" s="1202">
        <f t="shared" si="39"/>
        <v>0</v>
      </c>
      <c r="CD33" s="635"/>
      <c r="CE33" s="263"/>
      <c r="CF33" s="1196">
        <f t="shared" si="40"/>
        <v>0</v>
      </c>
      <c r="CG33" s="1197">
        <f t="shared" si="41"/>
        <v>0</v>
      </c>
      <c r="CH33" s="1034"/>
      <c r="CI33" s="266"/>
      <c r="CJ33" s="1196">
        <f t="shared" si="42"/>
        <v>0</v>
      </c>
      <c r="CK33" s="1197">
        <f t="shared" si="43"/>
        <v>0</v>
      </c>
      <c r="CL33" s="257">
        <v>46397</v>
      </c>
      <c r="CM33" s="258">
        <v>34591</v>
      </c>
      <c r="CN33" s="1196">
        <f t="shared" si="44"/>
        <v>46397</v>
      </c>
      <c r="CO33" s="1197">
        <f t="shared" si="45"/>
        <v>34591</v>
      </c>
      <c r="CP33" s="1635">
        <f t="shared" si="46"/>
        <v>297014</v>
      </c>
      <c r="CQ33" s="269">
        <f t="shared" si="46"/>
        <v>291158</v>
      </c>
      <c r="CR33" s="269">
        <f t="shared" si="46"/>
        <v>297014</v>
      </c>
      <c r="CS33" s="1488">
        <f t="shared" si="46"/>
        <v>291158</v>
      </c>
      <c r="CT33" s="1034"/>
      <c r="CU33" s="266"/>
      <c r="CV33" s="1196">
        <f t="shared" si="47"/>
        <v>0</v>
      </c>
      <c r="CW33" s="1197">
        <f t="shared" si="48"/>
        <v>0</v>
      </c>
      <c r="CX33" s="1635">
        <f t="shared" si="49"/>
        <v>297014</v>
      </c>
      <c r="CY33" s="269">
        <f t="shared" si="49"/>
        <v>291158</v>
      </c>
      <c r="CZ33" s="269">
        <f t="shared" si="49"/>
        <v>297014</v>
      </c>
      <c r="DA33" s="1488">
        <f t="shared" si="49"/>
        <v>291158</v>
      </c>
    </row>
    <row r="34" spans="1:105" ht="16.5">
      <c r="A34" s="253" t="s">
        <v>106</v>
      </c>
      <c r="B34" s="254">
        <v>27080</v>
      </c>
      <c r="C34" s="255">
        <v>34717</v>
      </c>
      <c r="D34" s="1196">
        <f t="shared" si="2"/>
        <v>27080</v>
      </c>
      <c r="E34" s="1197">
        <f t="shared" si="3"/>
        <v>34717</v>
      </c>
      <c r="F34" s="257">
        <v>3516</v>
      </c>
      <c r="G34" s="258">
        <v>5746</v>
      </c>
      <c r="H34" s="1196">
        <f t="shared" si="4"/>
        <v>3516</v>
      </c>
      <c r="I34" s="1197">
        <f t="shared" si="5"/>
        <v>5746</v>
      </c>
      <c r="J34" s="257">
        <v>10071</v>
      </c>
      <c r="K34" s="258">
        <v>14999</v>
      </c>
      <c r="L34" s="1196">
        <f t="shared" si="6"/>
        <v>10071</v>
      </c>
      <c r="M34" s="1197">
        <f t="shared" si="7"/>
        <v>14999</v>
      </c>
      <c r="N34" s="257">
        <v>26166</v>
      </c>
      <c r="O34" s="258">
        <v>35976</v>
      </c>
      <c r="P34" s="1196">
        <f t="shared" si="8"/>
        <v>26166</v>
      </c>
      <c r="Q34" s="1197">
        <f t="shared" si="9"/>
        <v>35976</v>
      </c>
      <c r="R34" s="257">
        <v>9565</v>
      </c>
      <c r="S34" s="258">
        <v>11723</v>
      </c>
      <c r="T34" s="1196">
        <f t="shared" si="10"/>
        <v>9565</v>
      </c>
      <c r="U34" s="1197">
        <f t="shared" si="11"/>
        <v>11723</v>
      </c>
      <c r="V34" s="257"/>
      <c r="W34" s="258"/>
      <c r="X34" s="1196">
        <f t="shared" si="12"/>
        <v>0</v>
      </c>
      <c r="Y34" s="1197">
        <f t="shared" si="13"/>
        <v>0</v>
      </c>
      <c r="Z34" s="257">
        <v>6291</v>
      </c>
      <c r="AA34" s="258">
        <v>9679</v>
      </c>
      <c r="AB34" s="1196">
        <f t="shared" si="14"/>
        <v>6291</v>
      </c>
      <c r="AC34" s="1197">
        <f t="shared" si="15"/>
        <v>9679</v>
      </c>
      <c r="AD34" s="257"/>
      <c r="AE34" s="258"/>
      <c r="AF34" s="1196">
        <f t="shared" si="16"/>
        <v>0</v>
      </c>
      <c r="AG34" s="1197">
        <f t="shared" si="17"/>
        <v>0</v>
      </c>
      <c r="AH34" s="257">
        <v>18739</v>
      </c>
      <c r="AI34" s="258">
        <v>19130</v>
      </c>
      <c r="AJ34" s="1196">
        <f t="shared" si="18"/>
        <v>18739</v>
      </c>
      <c r="AK34" s="1197">
        <f t="shared" si="19"/>
        <v>19130</v>
      </c>
      <c r="AL34" s="257"/>
      <c r="AM34" s="258"/>
      <c r="AN34" s="1196">
        <f t="shared" si="20"/>
        <v>0</v>
      </c>
      <c r="AO34" s="1197">
        <f t="shared" si="21"/>
        <v>0</v>
      </c>
      <c r="AP34" s="257"/>
      <c r="AQ34" s="258"/>
      <c r="AR34" s="1196">
        <f t="shared" si="22"/>
        <v>0</v>
      </c>
      <c r="AS34" s="1197">
        <f t="shared" si="23"/>
        <v>0</v>
      </c>
      <c r="AT34" s="257"/>
      <c r="AU34" s="258"/>
      <c r="AV34" s="1196">
        <f t="shared" si="24"/>
        <v>0</v>
      </c>
      <c r="AW34" s="1197">
        <f t="shared" si="25"/>
        <v>0</v>
      </c>
      <c r="AX34" s="1032">
        <v>5877</v>
      </c>
      <c r="AY34" s="260">
        <v>5854</v>
      </c>
      <c r="AZ34" s="1196">
        <f t="shared" si="26"/>
        <v>5877</v>
      </c>
      <c r="BA34" s="1197">
        <f t="shared" si="27"/>
        <v>5854</v>
      </c>
      <c r="BB34" s="257"/>
      <c r="BC34" s="258"/>
      <c r="BD34" s="1196">
        <f t="shared" si="28"/>
        <v>0</v>
      </c>
      <c r="BE34" s="1197">
        <f t="shared" si="29"/>
        <v>0</v>
      </c>
      <c r="BF34" s="257">
        <v>27296</v>
      </c>
      <c r="BG34" s="705">
        <v>21667</v>
      </c>
      <c r="BH34" s="1196">
        <f t="shared" si="30"/>
        <v>27296</v>
      </c>
      <c r="BI34" s="1197">
        <f t="shared" si="31"/>
        <v>21667</v>
      </c>
      <c r="BJ34" s="635">
        <v>53678</v>
      </c>
      <c r="BK34" s="263">
        <v>70165</v>
      </c>
      <c r="BL34" s="1196">
        <f t="shared" si="32"/>
        <v>53678</v>
      </c>
      <c r="BM34" s="1197">
        <f t="shared" si="33"/>
        <v>70165</v>
      </c>
      <c r="BN34" s="257"/>
      <c r="BO34" s="258"/>
      <c r="BP34" s="1196">
        <f t="shared" si="34"/>
        <v>0</v>
      </c>
      <c r="BQ34" s="1196">
        <f t="shared" si="35"/>
        <v>0</v>
      </c>
      <c r="BR34" s="257"/>
      <c r="BS34" s="258"/>
      <c r="BT34" s="1196">
        <f t="shared" si="36"/>
        <v>0</v>
      </c>
      <c r="BU34" s="1197">
        <f t="shared" si="37"/>
        <v>0</v>
      </c>
      <c r="BV34" s="261"/>
      <c r="BW34" s="258"/>
      <c r="BX34" s="258"/>
      <c r="BY34" s="259"/>
      <c r="BZ34" s="1203"/>
      <c r="CA34" s="1204"/>
      <c r="CB34" s="1201">
        <f t="shared" si="38"/>
        <v>0</v>
      </c>
      <c r="CC34" s="1202">
        <f t="shared" si="39"/>
        <v>0</v>
      </c>
      <c r="CD34" s="635"/>
      <c r="CE34" s="263"/>
      <c r="CF34" s="1196">
        <f t="shared" si="40"/>
        <v>0</v>
      </c>
      <c r="CG34" s="1197">
        <f t="shared" si="41"/>
        <v>0</v>
      </c>
      <c r="CH34" s="1034"/>
      <c r="CI34" s="266"/>
      <c r="CJ34" s="1196">
        <f t="shared" si="42"/>
        <v>0</v>
      </c>
      <c r="CK34" s="1197">
        <f t="shared" si="43"/>
        <v>0</v>
      </c>
      <c r="CL34" s="257"/>
      <c r="CM34" s="258"/>
      <c r="CN34" s="1196">
        <f t="shared" si="44"/>
        <v>0</v>
      </c>
      <c r="CO34" s="1197">
        <f t="shared" si="45"/>
        <v>0</v>
      </c>
      <c r="CP34" s="1635">
        <f t="shared" si="46"/>
        <v>188279</v>
      </c>
      <c r="CQ34" s="269">
        <f t="shared" si="46"/>
        <v>229656</v>
      </c>
      <c r="CR34" s="269">
        <f t="shared" si="46"/>
        <v>188279</v>
      </c>
      <c r="CS34" s="1488">
        <f t="shared" si="46"/>
        <v>229656</v>
      </c>
      <c r="CT34" s="1034">
        <v>636651</v>
      </c>
      <c r="CU34" s="266">
        <v>597573</v>
      </c>
      <c r="CV34" s="1196">
        <f t="shared" si="47"/>
        <v>636651</v>
      </c>
      <c r="CW34" s="1197">
        <f t="shared" si="48"/>
        <v>597573</v>
      </c>
      <c r="CX34" s="1635">
        <f t="shared" si="49"/>
        <v>824930</v>
      </c>
      <c r="CY34" s="269">
        <f t="shared" si="49"/>
        <v>827229</v>
      </c>
      <c r="CZ34" s="269">
        <f t="shared" si="49"/>
        <v>824930</v>
      </c>
      <c r="DA34" s="1488">
        <f t="shared" si="49"/>
        <v>827229</v>
      </c>
    </row>
    <row r="35" spans="1:105" ht="16.5">
      <c r="A35" s="253" t="s">
        <v>107</v>
      </c>
      <c r="B35" s="254">
        <v>17878</v>
      </c>
      <c r="C35" s="255">
        <v>52249</v>
      </c>
      <c r="D35" s="1196">
        <f t="shared" si="2"/>
        <v>17878</v>
      </c>
      <c r="E35" s="1197">
        <f t="shared" si="3"/>
        <v>52249</v>
      </c>
      <c r="F35" s="257">
        <v>10164</v>
      </c>
      <c r="G35" s="258">
        <v>4264</v>
      </c>
      <c r="H35" s="1196">
        <f t="shared" si="4"/>
        <v>10164</v>
      </c>
      <c r="I35" s="1197">
        <f t="shared" si="5"/>
        <v>4264</v>
      </c>
      <c r="J35" s="257">
        <v>8432</v>
      </c>
      <c r="K35" s="258">
        <v>1981</v>
      </c>
      <c r="L35" s="1196">
        <f t="shared" si="6"/>
        <v>8432</v>
      </c>
      <c r="M35" s="1197">
        <f t="shared" si="7"/>
        <v>1981</v>
      </c>
      <c r="N35" s="257"/>
      <c r="O35" s="258"/>
      <c r="P35" s="1196">
        <f t="shared" si="8"/>
        <v>0</v>
      </c>
      <c r="Q35" s="1197">
        <f t="shared" si="9"/>
        <v>0</v>
      </c>
      <c r="R35" s="257"/>
      <c r="S35" s="258"/>
      <c r="T35" s="1196">
        <f t="shared" si="10"/>
        <v>0</v>
      </c>
      <c r="U35" s="1197">
        <f t="shared" si="11"/>
        <v>0</v>
      </c>
      <c r="V35" s="257"/>
      <c r="W35" s="258"/>
      <c r="X35" s="1196">
        <f t="shared" si="12"/>
        <v>0</v>
      </c>
      <c r="Y35" s="1197">
        <f t="shared" si="13"/>
        <v>0</v>
      </c>
      <c r="Z35" s="257"/>
      <c r="AA35" s="258"/>
      <c r="AB35" s="1196">
        <f t="shared" si="14"/>
        <v>0</v>
      </c>
      <c r="AC35" s="1197">
        <f t="shared" si="15"/>
        <v>0</v>
      </c>
      <c r="AD35" s="257"/>
      <c r="AE35" s="258"/>
      <c r="AF35" s="1196">
        <f t="shared" si="16"/>
        <v>0</v>
      </c>
      <c r="AG35" s="1197">
        <f t="shared" si="17"/>
        <v>0</v>
      </c>
      <c r="AH35" s="257"/>
      <c r="AI35" s="258"/>
      <c r="AJ35" s="1196">
        <f t="shared" si="18"/>
        <v>0</v>
      </c>
      <c r="AK35" s="1197">
        <f t="shared" si="19"/>
        <v>0</v>
      </c>
      <c r="AL35" s="257"/>
      <c r="AM35" s="258"/>
      <c r="AN35" s="1196">
        <f t="shared" si="20"/>
        <v>0</v>
      </c>
      <c r="AO35" s="1197">
        <f t="shared" si="21"/>
        <v>0</v>
      </c>
      <c r="AP35" s="257"/>
      <c r="AQ35" s="258"/>
      <c r="AR35" s="1196">
        <f t="shared" si="22"/>
        <v>0</v>
      </c>
      <c r="AS35" s="1197">
        <f t="shared" si="23"/>
        <v>0</v>
      </c>
      <c r="AT35" s="257"/>
      <c r="AU35" s="258"/>
      <c r="AV35" s="1196">
        <f t="shared" si="24"/>
        <v>0</v>
      </c>
      <c r="AW35" s="1197">
        <f t="shared" si="25"/>
        <v>0</v>
      </c>
      <c r="AX35" s="1032"/>
      <c r="AY35" s="260"/>
      <c r="AZ35" s="1196">
        <f t="shared" si="26"/>
        <v>0</v>
      </c>
      <c r="BA35" s="1197">
        <f t="shared" si="27"/>
        <v>0</v>
      </c>
      <c r="BB35" s="257"/>
      <c r="BC35" s="258"/>
      <c r="BD35" s="1196">
        <f t="shared" si="28"/>
        <v>0</v>
      </c>
      <c r="BE35" s="1197">
        <f t="shared" si="29"/>
        <v>0</v>
      </c>
      <c r="BF35" s="257">
        <v>11623</v>
      </c>
      <c r="BG35" s="705">
        <v>12518</v>
      </c>
      <c r="BH35" s="1196">
        <f t="shared" si="30"/>
        <v>11623</v>
      </c>
      <c r="BI35" s="1197">
        <f t="shared" si="31"/>
        <v>12518</v>
      </c>
      <c r="BJ35" s="635">
        <v>82435</v>
      </c>
      <c r="BK35" s="263">
        <v>21522</v>
      </c>
      <c r="BL35" s="1196">
        <f t="shared" si="32"/>
        <v>82435</v>
      </c>
      <c r="BM35" s="1197">
        <f t="shared" si="33"/>
        <v>21522</v>
      </c>
      <c r="BN35" s="257">
        <v>13102</v>
      </c>
      <c r="BO35" s="258">
        <v>7212</v>
      </c>
      <c r="BP35" s="1196">
        <f t="shared" si="34"/>
        <v>13102</v>
      </c>
      <c r="BQ35" s="1196">
        <f t="shared" si="35"/>
        <v>7212</v>
      </c>
      <c r="BR35" s="257"/>
      <c r="BS35" s="258"/>
      <c r="BT35" s="1196">
        <f t="shared" si="36"/>
        <v>0</v>
      </c>
      <c r="BU35" s="1197">
        <f t="shared" si="37"/>
        <v>0</v>
      </c>
      <c r="BV35" s="261"/>
      <c r="BW35" s="258"/>
      <c r="BX35" s="258"/>
      <c r="BY35" s="259"/>
      <c r="BZ35" s="1203">
        <v>3360</v>
      </c>
      <c r="CA35" s="1204">
        <v>2825</v>
      </c>
      <c r="CB35" s="1201">
        <f t="shared" si="38"/>
        <v>3360</v>
      </c>
      <c r="CC35" s="1202">
        <f t="shared" si="39"/>
        <v>2825</v>
      </c>
      <c r="CD35" s="635"/>
      <c r="CE35" s="263"/>
      <c r="CF35" s="1196">
        <f t="shared" si="40"/>
        <v>0</v>
      </c>
      <c r="CG35" s="1197">
        <f t="shared" si="41"/>
        <v>0</v>
      </c>
      <c r="CH35" s="1034"/>
      <c r="CI35" s="266"/>
      <c r="CJ35" s="1196">
        <f t="shared" si="42"/>
        <v>0</v>
      </c>
      <c r="CK35" s="1197">
        <f t="shared" si="43"/>
        <v>0</v>
      </c>
      <c r="CL35" s="270"/>
      <c r="CM35" s="270"/>
      <c r="CN35" s="1196">
        <f t="shared" si="44"/>
        <v>0</v>
      </c>
      <c r="CO35" s="1197">
        <f t="shared" si="45"/>
        <v>0</v>
      </c>
      <c r="CP35" s="1635">
        <f t="shared" si="46"/>
        <v>146994</v>
      </c>
      <c r="CQ35" s="269">
        <f t="shared" si="46"/>
        <v>102571</v>
      </c>
      <c r="CR35" s="269">
        <f t="shared" si="46"/>
        <v>146994</v>
      </c>
      <c r="CS35" s="1488">
        <f t="shared" si="46"/>
        <v>102571</v>
      </c>
      <c r="CT35" s="1034"/>
      <c r="CU35" s="266"/>
      <c r="CV35" s="1196">
        <f t="shared" si="47"/>
        <v>0</v>
      </c>
      <c r="CW35" s="1197">
        <f t="shared" si="48"/>
        <v>0</v>
      </c>
      <c r="CX35" s="1635">
        <f t="shared" si="49"/>
        <v>146994</v>
      </c>
      <c r="CY35" s="269">
        <f t="shared" si="49"/>
        <v>102571</v>
      </c>
      <c r="CZ35" s="269">
        <f t="shared" si="49"/>
        <v>146994</v>
      </c>
      <c r="DA35" s="1488">
        <f t="shared" si="49"/>
        <v>102571</v>
      </c>
    </row>
    <row r="36" spans="1:105" ht="16.5">
      <c r="A36" s="253" t="s">
        <v>108</v>
      </c>
      <c r="B36" s="254">
        <f>20514+154254</f>
        <v>174768</v>
      </c>
      <c r="C36" s="255">
        <f>16551+151619</f>
        <v>168170</v>
      </c>
      <c r="D36" s="1196">
        <f t="shared" si="2"/>
        <v>174768</v>
      </c>
      <c r="E36" s="1197">
        <f t="shared" si="3"/>
        <v>168170</v>
      </c>
      <c r="F36" s="257">
        <v>573</v>
      </c>
      <c r="G36" s="258">
        <v>2060</v>
      </c>
      <c r="H36" s="1196">
        <f t="shared" si="4"/>
        <v>573</v>
      </c>
      <c r="I36" s="1197">
        <f t="shared" si="5"/>
        <v>2060</v>
      </c>
      <c r="J36" s="257">
        <v>3364</v>
      </c>
      <c r="K36" s="258">
        <v>5018</v>
      </c>
      <c r="L36" s="1196">
        <f t="shared" si="6"/>
        <v>3364</v>
      </c>
      <c r="M36" s="1197">
        <f t="shared" si="7"/>
        <v>5018</v>
      </c>
      <c r="N36" s="257">
        <v>33124</v>
      </c>
      <c r="O36" s="258">
        <v>26779</v>
      </c>
      <c r="P36" s="1196">
        <f t="shared" si="8"/>
        <v>33124</v>
      </c>
      <c r="Q36" s="1197">
        <f t="shared" si="9"/>
        <v>26779</v>
      </c>
      <c r="R36" s="257">
        <v>18105</v>
      </c>
      <c r="S36" s="258">
        <v>17533</v>
      </c>
      <c r="T36" s="1196">
        <f t="shared" si="10"/>
        <v>18105</v>
      </c>
      <c r="U36" s="1197">
        <f t="shared" si="11"/>
        <v>17533</v>
      </c>
      <c r="V36" s="257">
        <v>49703</v>
      </c>
      <c r="W36" s="258">
        <v>33935</v>
      </c>
      <c r="X36" s="1196">
        <f t="shared" si="12"/>
        <v>49703</v>
      </c>
      <c r="Y36" s="1197">
        <f t="shared" si="13"/>
        <v>33935</v>
      </c>
      <c r="Z36" s="257">
        <f>40+40866</f>
        <v>40906</v>
      </c>
      <c r="AA36" s="258">
        <f>66870+24</f>
        <v>66894</v>
      </c>
      <c r="AB36" s="1196">
        <f t="shared" si="14"/>
        <v>40906</v>
      </c>
      <c r="AC36" s="1197">
        <f t="shared" si="15"/>
        <v>66894</v>
      </c>
      <c r="AD36" s="257"/>
      <c r="AE36" s="258"/>
      <c r="AF36" s="1196">
        <f t="shared" si="16"/>
        <v>0</v>
      </c>
      <c r="AG36" s="1197">
        <f t="shared" si="17"/>
        <v>0</v>
      </c>
      <c r="AH36" s="257">
        <f>5575+3435</f>
        <v>9010</v>
      </c>
      <c r="AI36" s="258">
        <f>7751+1877</f>
        <v>9628</v>
      </c>
      <c r="AJ36" s="1196">
        <f t="shared" si="18"/>
        <v>9010</v>
      </c>
      <c r="AK36" s="1197">
        <f t="shared" si="19"/>
        <v>9628</v>
      </c>
      <c r="AL36" s="257">
        <f>4674+4388</f>
        <v>9062</v>
      </c>
      <c r="AM36" s="258">
        <f>2534+2976</f>
        <v>5510</v>
      </c>
      <c r="AN36" s="1196">
        <f t="shared" si="20"/>
        <v>9062</v>
      </c>
      <c r="AO36" s="1197">
        <f t="shared" si="21"/>
        <v>5510</v>
      </c>
      <c r="AP36" s="257">
        <v>190049</v>
      </c>
      <c r="AQ36" s="258">
        <v>207319</v>
      </c>
      <c r="AR36" s="1196">
        <f t="shared" si="22"/>
        <v>190049</v>
      </c>
      <c r="AS36" s="1197">
        <f t="shared" si="23"/>
        <v>207319</v>
      </c>
      <c r="AT36" s="257">
        <f>83022+85707</f>
        <v>168729</v>
      </c>
      <c r="AU36" s="258">
        <f>66249+60080</f>
        <v>126329</v>
      </c>
      <c r="AV36" s="1196">
        <f t="shared" si="24"/>
        <v>168729</v>
      </c>
      <c r="AW36" s="1197">
        <f t="shared" si="25"/>
        <v>126329</v>
      </c>
      <c r="AX36" s="1032">
        <f>11164+2408</f>
        <v>13572</v>
      </c>
      <c r="AY36" s="260">
        <f>7333+4869</f>
        <v>12202</v>
      </c>
      <c r="AZ36" s="1196">
        <f t="shared" si="26"/>
        <v>13572</v>
      </c>
      <c r="BA36" s="1197">
        <f t="shared" si="27"/>
        <v>12202</v>
      </c>
      <c r="BB36" s="257"/>
      <c r="BC36" s="258"/>
      <c r="BD36" s="1196">
        <f t="shared" si="28"/>
        <v>0</v>
      </c>
      <c r="BE36" s="1197">
        <f t="shared" si="29"/>
        <v>0</v>
      </c>
      <c r="BF36" s="704">
        <f>4499+37749</f>
        <v>42248</v>
      </c>
      <c r="BG36" s="705">
        <f>1554+45602</f>
        <v>47156</v>
      </c>
      <c r="BH36" s="1196">
        <f t="shared" si="30"/>
        <v>42248</v>
      </c>
      <c r="BI36" s="1197">
        <f t="shared" si="31"/>
        <v>47156</v>
      </c>
      <c r="BJ36" s="635">
        <f>286+5657+31421</f>
        <v>37364</v>
      </c>
      <c r="BK36" s="263">
        <f>19920+45+11635</f>
        <v>31600</v>
      </c>
      <c r="BL36" s="1196">
        <f t="shared" si="32"/>
        <v>37364</v>
      </c>
      <c r="BM36" s="1197">
        <f t="shared" si="33"/>
        <v>31600</v>
      </c>
      <c r="BN36" s="257">
        <v>-2421</v>
      </c>
      <c r="BO36" s="258">
        <v>13648</v>
      </c>
      <c r="BP36" s="1196">
        <f t="shared" si="34"/>
        <v>-2421</v>
      </c>
      <c r="BQ36" s="1196">
        <f t="shared" si="35"/>
        <v>13648</v>
      </c>
      <c r="BR36" s="257">
        <f>27336+60622</f>
        <v>87958</v>
      </c>
      <c r="BS36" s="258">
        <f>24023+19012</f>
        <v>43035</v>
      </c>
      <c r="BT36" s="1196">
        <f t="shared" si="36"/>
        <v>87958</v>
      </c>
      <c r="BU36" s="1197">
        <f t="shared" si="37"/>
        <v>43035</v>
      </c>
      <c r="BV36" s="261"/>
      <c r="BW36" s="258"/>
      <c r="BX36" s="258"/>
      <c r="BY36" s="259"/>
      <c r="BZ36" s="1203">
        <v>173303</v>
      </c>
      <c r="CA36" s="1204">
        <v>204570</v>
      </c>
      <c r="CB36" s="1201">
        <f t="shared" si="38"/>
        <v>173303</v>
      </c>
      <c r="CC36" s="1202">
        <f t="shared" si="39"/>
        <v>204570</v>
      </c>
      <c r="CD36" s="635">
        <v>78818</v>
      </c>
      <c r="CE36" s="263">
        <v>112174</v>
      </c>
      <c r="CF36" s="1196">
        <f t="shared" si="40"/>
        <v>78818</v>
      </c>
      <c r="CG36" s="1197">
        <f t="shared" si="41"/>
        <v>112174</v>
      </c>
      <c r="CH36" s="1034">
        <v>6342</v>
      </c>
      <c r="CI36" s="266">
        <v>8021</v>
      </c>
      <c r="CJ36" s="1196">
        <f t="shared" si="42"/>
        <v>6342</v>
      </c>
      <c r="CK36" s="1197">
        <f t="shared" si="43"/>
        <v>8021</v>
      </c>
      <c r="CL36" s="257">
        <v>2250</v>
      </c>
      <c r="CM36" s="258">
        <v>1300</v>
      </c>
      <c r="CN36" s="1196">
        <f t="shared" si="44"/>
        <v>2250</v>
      </c>
      <c r="CO36" s="1197">
        <f t="shared" si="45"/>
        <v>1300</v>
      </c>
      <c r="CP36" s="1636">
        <f t="shared" si="46"/>
        <v>1136827</v>
      </c>
      <c r="CQ36" s="254">
        <f t="shared" si="46"/>
        <v>1142881</v>
      </c>
      <c r="CR36" s="254">
        <f t="shared" si="46"/>
        <v>1136827</v>
      </c>
      <c r="CS36" s="1175">
        <f t="shared" si="46"/>
        <v>1142881</v>
      </c>
      <c r="CT36" s="257">
        <f>76239+9313+1110650+177645</f>
        <v>1373847</v>
      </c>
      <c r="CU36" s="258">
        <f>69961+12452+933696+151080</f>
        <v>1167189</v>
      </c>
      <c r="CV36" s="1196">
        <f t="shared" si="47"/>
        <v>1373847</v>
      </c>
      <c r="CW36" s="1197">
        <f t="shared" si="48"/>
        <v>1167189</v>
      </c>
      <c r="CX36" s="1636">
        <f t="shared" si="49"/>
        <v>2510674</v>
      </c>
      <c r="CY36" s="254">
        <f t="shared" si="49"/>
        <v>2310070</v>
      </c>
      <c r="CZ36" s="254">
        <f t="shared" si="49"/>
        <v>2510674</v>
      </c>
      <c r="DA36" s="1175">
        <f t="shared" si="49"/>
        <v>2310070</v>
      </c>
    </row>
    <row r="37" spans="1:105" ht="17.25" thickBot="1">
      <c r="A37" s="282" t="s">
        <v>109</v>
      </c>
      <c r="B37" s="288">
        <v>68905</v>
      </c>
      <c r="C37" s="289">
        <v>48194</v>
      </c>
      <c r="D37" s="1196">
        <f t="shared" si="2"/>
        <v>68905</v>
      </c>
      <c r="E37" s="1197">
        <f t="shared" si="3"/>
        <v>48194</v>
      </c>
      <c r="F37" s="290"/>
      <c r="G37" s="285"/>
      <c r="H37" s="1196">
        <f t="shared" si="4"/>
        <v>0</v>
      </c>
      <c r="I37" s="1197">
        <f t="shared" si="5"/>
        <v>0</v>
      </c>
      <c r="J37" s="290"/>
      <c r="K37" s="285"/>
      <c r="L37" s="1196">
        <f t="shared" si="6"/>
        <v>0</v>
      </c>
      <c r="M37" s="1197">
        <f t="shared" si="7"/>
        <v>0</v>
      </c>
      <c r="N37" s="290">
        <v>51556</v>
      </c>
      <c r="O37" s="285">
        <v>53933</v>
      </c>
      <c r="P37" s="1196">
        <f t="shared" si="8"/>
        <v>51556</v>
      </c>
      <c r="Q37" s="1197">
        <f t="shared" si="9"/>
        <v>53933</v>
      </c>
      <c r="R37" s="290">
        <v>2032</v>
      </c>
      <c r="S37" s="285">
        <v>849</v>
      </c>
      <c r="T37" s="1196">
        <f t="shared" si="10"/>
        <v>2032</v>
      </c>
      <c r="U37" s="1197">
        <f t="shared" si="11"/>
        <v>849</v>
      </c>
      <c r="V37" s="290"/>
      <c r="W37" s="285"/>
      <c r="X37" s="1196">
        <f t="shared" si="12"/>
        <v>0</v>
      </c>
      <c r="Y37" s="1197">
        <f t="shared" si="13"/>
        <v>0</v>
      </c>
      <c r="Z37" s="290"/>
      <c r="AA37" s="285"/>
      <c r="AB37" s="1196">
        <f t="shared" si="14"/>
        <v>0</v>
      </c>
      <c r="AC37" s="1197">
        <f t="shared" si="15"/>
        <v>0</v>
      </c>
      <c r="AD37" s="290"/>
      <c r="AE37" s="285"/>
      <c r="AF37" s="1196">
        <f t="shared" si="16"/>
        <v>0</v>
      </c>
      <c r="AG37" s="1197">
        <f t="shared" si="17"/>
        <v>0</v>
      </c>
      <c r="AH37" s="290"/>
      <c r="AI37" s="285"/>
      <c r="AJ37" s="1196">
        <f t="shared" si="18"/>
        <v>0</v>
      </c>
      <c r="AK37" s="1197">
        <f t="shared" si="19"/>
        <v>0</v>
      </c>
      <c r="AL37" s="290">
        <v>19656</v>
      </c>
      <c r="AM37" s="285">
        <v>15989</v>
      </c>
      <c r="AN37" s="1196">
        <f t="shared" si="20"/>
        <v>19656</v>
      </c>
      <c r="AO37" s="1197">
        <f t="shared" si="21"/>
        <v>15989</v>
      </c>
      <c r="AP37" s="290"/>
      <c r="AQ37" s="285"/>
      <c r="AR37" s="1196">
        <f t="shared" si="22"/>
        <v>0</v>
      </c>
      <c r="AS37" s="1197">
        <f t="shared" si="23"/>
        <v>0</v>
      </c>
      <c r="AT37" s="290"/>
      <c r="AU37" s="285"/>
      <c r="AV37" s="1196">
        <f t="shared" si="24"/>
        <v>0</v>
      </c>
      <c r="AW37" s="1197">
        <f t="shared" si="25"/>
        <v>0</v>
      </c>
      <c r="AX37" s="1629"/>
      <c r="AY37" s="283"/>
      <c r="AZ37" s="1196">
        <f t="shared" si="26"/>
        <v>0</v>
      </c>
      <c r="BA37" s="1197">
        <f t="shared" si="27"/>
        <v>0</v>
      </c>
      <c r="BB37" s="290">
        <v>17736</v>
      </c>
      <c r="BC37" s="285">
        <v>15030</v>
      </c>
      <c r="BD37" s="1196">
        <f t="shared" si="28"/>
        <v>17736</v>
      </c>
      <c r="BE37" s="1197">
        <f t="shared" si="29"/>
        <v>15030</v>
      </c>
      <c r="BF37" s="1216"/>
      <c r="BG37" s="1217"/>
      <c r="BH37" s="1196">
        <f t="shared" si="30"/>
        <v>0</v>
      </c>
      <c r="BI37" s="1197">
        <f t="shared" si="31"/>
        <v>0</v>
      </c>
      <c r="BJ37" s="636"/>
      <c r="BK37" s="287"/>
      <c r="BL37" s="1196">
        <f t="shared" si="32"/>
        <v>0</v>
      </c>
      <c r="BM37" s="1197">
        <f t="shared" si="33"/>
        <v>0</v>
      </c>
      <c r="BN37" s="290"/>
      <c r="BO37" s="285"/>
      <c r="BP37" s="1196">
        <f t="shared" si="34"/>
        <v>0</v>
      </c>
      <c r="BQ37" s="1196">
        <f t="shared" si="35"/>
        <v>0</v>
      </c>
      <c r="BR37" s="290"/>
      <c r="BS37" s="285"/>
      <c r="BT37" s="1196">
        <f t="shared" si="36"/>
        <v>0</v>
      </c>
      <c r="BU37" s="1197">
        <f t="shared" si="37"/>
        <v>0</v>
      </c>
      <c r="BV37" s="284"/>
      <c r="BW37" s="285"/>
      <c r="BX37" s="285"/>
      <c r="BY37" s="286"/>
      <c r="BZ37" s="1206"/>
      <c r="CA37" s="1207"/>
      <c r="CB37" s="1201">
        <f t="shared" si="38"/>
        <v>0</v>
      </c>
      <c r="CC37" s="1202">
        <f t="shared" si="39"/>
        <v>0</v>
      </c>
      <c r="CD37" s="636"/>
      <c r="CE37" s="287"/>
      <c r="CF37" s="1196">
        <f t="shared" si="40"/>
        <v>0</v>
      </c>
      <c r="CG37" s="1197">
        <f t="shared" si="41"/>
        <v>0</v>
      </c>
      <c r="CH37" s="1034"/>
      <c r="CI37" s="266"/>
      <c r="CJ37" s="1196">
        <f t="shared" si="42"/>
        <v>0</v>
      </c>
      <c r="CK37" s="1197">
        <f t="shared" si="43"/>
        <v>0</v>
      </c>
      <c r="CL37" s="290"/>
      <c r="CM37" s="285"/>
      <c r="CN37" s="1196">
        <f t="shared" si="44"/>
        <v>0</v>
      </c>
      <c r="CO37" s="1197">
        <f t="shared" si="45"/>
        <v>0</v>
      </c>
      <c r="CP37" s="1636">
        <f t="shared" si="46"/>
        <v>159885</v>
      </c>
      <c r="CQ37" s="254">
        <f t="shared" si="46"/>
        <v>133995</v>
      </c>
      <c r="CR37" s="254">
        <f t="shared" si="46"/>
        <v>159885</v>
      </c>
      <c r="CS37" s="1175">
        <f t="shared" si="46"/>
        <v>133995</v>
      </c>
      <c r="CT37" s="290"/>
      <c r="CU37" s="285"/>
      <c r="CV37" s="1196">
        <f t="shared" si="47"/>
        <v>0</v>
      </c>
      <c r="CW37" s="1197">
        <f t="shared" si="48"/>
        <v>0</v>
      </c>
      <c r="CX37" s="1636">
        <f t="shared" si="49"/>
        <v>159885</v>
      </c>
      <c r="CY37" s="254">
        <f t="shared" si="49"/>
        <v>133995</v>
      </c>
      <c r="CZ37" s="254">
        <f t="shared" si="49"/>
        <v>159885</v>
      </c>
      <c r="DA37" s="1175">
        <f t="shared" si="49"/>
        <v>133995</v>
      </c>
    </row>
    <row r="38" spans="1:105" s="893" customFormat="1" ht="18.75" thickBot="1">
      <c r="A38" s="1610" t="s">
        <v>54</v>
      </c>
      <c r="B38" s="1624">
        <f>SUM(B5:B37)</f>
        <v>2913487</v>
      </c>
      <c r="C38" s="1611">
        <f aca="true" t="shared" si="50" ref="C38:BN38">SUM(C5:C37)</f>
        <v>2508284</v>
      </c>
      <c r="D38" s="1611">
        <f t="shared" si="50"/>
        <v>2913487</v>
      </c>
      <c r="E38" s="1625">
        <f t="shared" si="50"/>
        <v>2508284</v>
      </c>
      <c r="F38" s="1622">
        <f t="shared" si="50"/>
        <v>578553</v>
      </c>
      <c r="G38" s="1611">
        <f t="shared" si="50"/>
        <v>584722</v>
      </c>
      <c r="H38" s="1611">
        <f t="shared" si="50"/>
        <v>578553</v>
      </c>
      <c r="I38" s="1625">
        <f t="shared" si="50"/>
        <v>584722</v>
      </c>
      <c r="J38" s="1622">
        <f t="shared" si="50"/>
        <v>723058</v>
      </c>
      <c r="K38" s="1611">
        <f t="shared" si="50"/>
        <v>885332</v>
      </c>
      <c r="L38" s="1611">
        <f t="shared" si="50"/>
        <v>723058</v>
      </c>
      <c r="M38" s="1625">
        <f t="shared" si="50"/>
        <v>885332</v>
      </c>
      <c r="N38" s="1622">
        <f t="shared" si="50"/>
        <v>4346795</v>
      </c>
      <c r="O38" s="1611">
        <f t="shared" si="50"/>
        <v>3194310</v>
      </c>
      <c r="P38" s="1611">
        <f t="shared" si="50"/>
        <v>4346795</v>
      </c>
      <c r="Q38" s="1625">
        <f t="shared" si="50"/>
        <v>3194310</v>
      </c>
      <c r="R38" s="1622">
        <f t="shared" si="50"/>
        <v>1933434</v>
      </c>
      <c r="S38" s="1611">
        <f t="shared" si="50"/>
        <v>1553771</v>
      </c>
      <c r="T38" s="1611">
        <f t="shared" si="50"/>
        <v>1933434</v>
      </c>
      <c r="U38" s="1625">
        <f t="shared" si="50"/>
        <v>1553771</v>
      </c>
      <c r="V38" s="1622">
        <f t="shared" si="50"/>
        <v>1079211</v>
      </c>
      <c r="W38" s="1611">
        <f t="shared" si="50"/>
        <v>967469</v>
      </c>
      <c r="X38" s="1611">
        <f t="shared" si="50"/>
        <v>1079211</v>
      </c>
      <c r="Y38" s="1625">
        <f t="shared" si="50"/>
        <v>967469</v>
      </c>
      <c r="Z38" s="1622">
        <f t="shared" si="50"/>
        <v>835782</v>
      </c>
      <c r="AA38" s="1611">
        <f t="shared" si="50"/>
        <v>1775574</v>
      </c>
      <c r="AB38" s="1611">
        <f t="shared" si="50"/>
        <v>835782</v>
      </c>
      <c r="AC38" s="1625">
        <f t="shared" si="50"/>
        <v>1775574</v>
      </c>
      <c r="AD38" s="1622">
        <f t="shared" si="50"/>
        <v>1208962</v>
      </c>
      <c r="AE38" s="1611">
        <f t="shared" si="50"/>
        <v>1070855</v>
      </c>
      <c r="AF38" s="1611">
        <f t="shared" si="50"/>
        <v>1208962</v>
      </c>
      <c r="AG38" s="1625">
        <f t="shared" si="50"/>
        <v>1070855</v>
      </c>
      <c r="AH38" s="1622">
        <f t="shared" si="50"/>
        <v>1786965</v>
      </c>
      <c r="AI38" s="1611">
        <f t="shared" si="50"/>
        <v>1739558</v>
      </c>
      <c r="AJ38" s="1611">
        <f t="shared" si="50"/>
        <v>1786965</v>
      </c>
      <c r="AK38" s="1625">
        <f t="shared" si="50"/>
        <v>1739558</v>
      </c>
      <c r="AL38" s="1622">
        <f t="shared" si="50"/>
        <v>1583499</v>
      </c>
      <c r="AM38" s="1611">
        <f t="shared" si="50"/>
        <v>1441820</v>
      </c>
      <c r="AN38" s="1611">
        <f t="shared" si="50"/>
        <v>1583499</v>
      </c>
      <c r="AO38" s="1625">
        <f t="shared" si="50"/>
        <v>1441820</v>
      </c>
      <c r="AP38" s="1622">
        <f t="shared" si="50"/>
        <v>8808089</v>
      </c>
      <c r="AQ38" s="1611">
        <f t="shared" si="50"/>
        <v>7245816</v>
      </c>
      <c r="AR38" s="1611">
        <f t="shared" si="50"/>
        <v>8808089</v>
      </c>
      <c r="AS38" s="1625">
        <f t="shared" si="50"/>
        <v>7245816</v>
      </c>
      <c r="AT38" s="1622">
        <f t="shared" si="50"/>
        <v>6458261</v>
      </c>
      <c r="AU38" s="1611">
        <f t="shared" si="50"/>
        <v>5951996</v>
      </c>
      <c r="AV38" s="1611">
        <f t="shared" si="50"/>
        <v>6458261</v>
      </c>
      <c r="AW38" s="1625">
        <f t="shared" si="50"/>
        <v>5951996</v>
      </c>
      <c r="AX38" s="1622">
        <f t="shared" si="50"/>
        <v>566006</v>
      </c>
      <c r="AY38" s="1611">
        <f t="shared" si="50"/>
        <v>613902</v>
      </c>
      <c r="AZ38" s="1611">
        <f t="shared" si="50"/>
        <v>566006</v>
      </c>
      <c r="BA38" s="1625">
        <f t="shared" si="50"/>
        <v>613902</v>
      </c>
      <c r="BB38" s="1622">
        <f t="shared" si="50"/>
        <v>917616</v>
      </c>
      <c r="BC38" s="1611">
        <f t="shared" si="50"/>
        <v>660272</v>
      </c>
      <c r="BD38" s="1611">
        <f t="shared" si="50"/>
        <v>917616</v>
      </c>
      <c r="BE38" s="1625">
        <f t="shared" si="50"/>
        <v>660272</v>
      </c>
      <c r="BF38" s="1622">
        <f t="shared" si="50"/>
        <v>3367083</v>
      </c>
      <c r="BG38" s="1611">
        <f t="shared" si="50"/>
        <v>2827691</v>
      </c>
      <c r="BH38" s="1611">
        <f t="shared" si="50"/>
        <v>3367083</v>
      </c>
      <c r="BI38" s="1625">
        <f t="shared" si="50"/>
        <v>2827691</v>
      </c>
      <c r="BJ38" s="1622">
        <f t="shared" si="50"/>
        <v>4948763</v>
      </c>
      <c r="BK38" s="1611">
        <f t="shared" si="50"/>
        <v>4007904</v>
      </c>
      <c r="BL38" s="1611">
        <f t="shared" si="50"/>
        <v>4948763</v>
      </c>
      <c r="BM38" s="1625">
        <f t="shared" si="50"/>
        <v>4007904</v>
      </c>
      <c r="BN38" s="1622">
        <f t="shared" si="50"/>
        <v>2183034</v>
      </c>
      <c r="BO38" s="1611">
        <f aca="true" t="shared" si="51" ref="BO38:CO38">SUM(BO5:BO37)</f>
        <v>1941605</v>
      </c>
      <c r="BP38" s="1611">
        <f t="shared" si="51"/>
        <v>2183034</v>
      </c>
      <c r="BQ38" s="1625">
        <f t="shared" si="51"/>
        <v>1941605</v>
      </c>
      <c r="BR38" s="1622">
        <f t="shared" si="51"/>
        <v>2879740</v>
      </c>
      <c r="BS38" s="1611">
        <f t="shared" si="51"/>
        <v>2502902</v>
      </c>
      <c r="BT38" s="1611">
        <f t="shared" si="51"/>
        <v>2879740</v>
      </c>
      <c r="BU38" s="1625">
        <f t="shared" si="51"/>
        <v>2502902</v>
      </c>
      <c r="BV38" s="1622">
        <f t="shared" si="51"/>
        <v>0</v>
      </c>
      <c r="BW38" s="1611">
        <f t="shared" si="51"/>
        <v>0</v>
      </c>
      <c r="BX38" s="1611">
        <f t="shared" si="51"/>
        <v>0</v>
      </c>
      <c r="BY38" s="1625">
        <f t="shared" si="51"/>
        <v>0</v>
      </c>
      <c r="BZ38" s="1622">
        <f t="shared" si="51"/>
        <v>4980099</v>
      </c>
      <c r="CA38" s="1611">
        <f t="shared" si="51"/>
        <v>4593611</v>
      </c>
      <c r="CB38" s="1611">
        <f t="shared" si="51"/>
        <v>4980099</v>
      </c>
      <c r="CC38" s="1625">
        <f t="shared" si="51"/>
        <v>4593611</v>
      </c>
      <c r="CD38" s="1622">
        <f t="shared" si="51"/>
        <v>1055503</v>
      </c>
      <c r="CE38" s="1611">
        <f t="shared" si="51"/>
        <v>891016</v>
      </c>
      <c r="CF38" s="1611">
        <f t="shared" si="51"/>
        <v>1055503</v>
      </c>
      <c r="CG38" s="1625">
        <f t="shared" si="51"/>
        <v>891016</v>
      </c>
      <c r="CH38" s="1622">
        <f t="shared" si="51"/>
        <v>907282</v>
      </c>
      <c r="CI38" s="1611">
        <f t="shared" si="51"/>
        <v>745657</v>
      </c>
      <c r="CJ38" s="1611">
        <f t="shared" si="51"/>
        <v>907282</v>
      </c>
      <c r="CK38" s="1625">
        <f t="shared" si="51"/>
        <v>745657</v>
      </c>
      <c r="CL38" s="1622">
        <f t="shared" si="51"/>
        <v>3506080</v>
      </c>
      <c r="CM38" s="1611">
        <f t="shared" si="51"/>
        <v>2399187</v>
      </c>
      <c r="CN38" s="1611">
        <f t="shared" si="51"/>
        <v>3506080</v>
      </c>
      <c r="CO38" s="1625">
        <f t="shared" si="51"/>
        <v>2399187</v>
      </c>
      <c r="CP38" s="1637">
        <f t="shared" si="46"/>
        <v>57567302</v>
      </c>
      <c r="CQ38" s="288">
        <f t="shared" si="46"/>
        <v>50103254</v>
      </c>
      <c r="CR38" s="288">
        <f t="shared" si="46"/>
        <v>57567302</v>
      </c>
      <c r="CS38" s="1613">
        <f t="shared" si="46"/>
        <v>50103254</v>
      </c>
      <c r="CT38" s="1639">
        <f>SUM(CT5:CT37)</f>
        <v>71079447</v>
      </c>
      <c r="CU38" s="1612">
        <f>SUM(CU5:CU37)</f>
        <v>68461398</v>
      </c>
      <c r="CV38" s="1612">
        <f>SUM(CV5:CV37)</f>
        <v>71079447</v>
      </c>
      <c r="CW38" s="1640">
        <f>SUM(CW5:CW37)</f>
        <v>68461398</v>
      </c>
      <c r="CX38" s="1637">
        <f t="shared" si="49"/>
        <v>128646749</v>
      </c>
      <c r="CY38" s="288">
        <f t="shared" si="49"/>
        <v>118564652</v>
      </c>
      <c r="CZ38" s="288">
        <f t="shared" si="49"/>
        <v>128646749</v>
      </c>
      <c r="DA38" s="1613">
        <f t="shared" si="49"/>
        <v>118564652</v>
      </c>
    </row>
    <row r="39" spans="1:105" ht="16.5">
      <c r="A39" s="1620" t="s">
        <v>110</v>
      </c>
      <c r="B39" s="1626"/>
      <c r="C39" s="1614"/>
      <c r="D39" s="1614"/>
      <c r="E39" s="1627"/>
      <c r="F39" s="1623">
        <v>-256939</v>
      </c>
      <c r="G39" s="1615">
        <v>-298113</v>
      </c>
      <c r="H39" s="1615"/>
      <c r="I39" s="1628"/>
      <c r="J39" s="1623"/>
      <c r="K39" s="1615"/>
      <c r="L39" s="1615"/>
      <c r="M39" s="1628"/>
      <c r="N39" s="1623"/>
      <c r="O39" s="1615"/>
      <c r="P39" s="1615"/>
      <c r="Q39" s="1628"/>
      <c r="R39" s="1623"/>
      <c r="S39" s="1615"/>
      <c r="T39" s="1615"/>
      <c r="U39" s="1628"/>
      <c r="V39" s="1623"/>
      <c r="W39" s="1615"/>
      <c r="X39" s="1615"/>
      <c r="Y39" s="1628"/>
      <c r="Z39" s="1623"/>
      <c r="AA39" s="1615"/>
      <c r="AB39" s="1615"/>
      <c r="AC39" s="1628"/>
      <c r="AD39" s="1623">
        <v>-731439</v>
      </c>
      <c r="AE39" s="1615">
        <v>-620142</v>
      </c>
      <c r="AF39" s="1615"/>
      <c r="AG39" s="1628"/>
      <c r="AH39" s="1623"/>
      <c r="AI39" s="1615"/>
      <c r="AJ39" s="1615"/>
      <c r="AK39" s="1628"/>
      <c r="AL39" s="1623"/>
      <c r="AM39" s="1615"/>
      <c r="AN39" s="1615"/>
      <c r="AO39" s="1628"/>
      <c r="AP39" s="1623"/>
      <c r="AQ39" s="1615"/>
      <c r="AR39" s="1615"/>
      <c r="AS39" s="1628"/>
      <c r="AT39" s="1623"/>
      <c r="AU39" s="1615"/>
      <c r="AV39" s="1615"/>
      <c r="AW39" s="1628"/>
      <c r="AX39" s="1630"/>
      <c r="AY39" s="1616"/>
      <c r="AZ39" s="1616"/>
      <c r="BA39" s="1631"/>
      <c r="BB39" s="1623"/>
      <c r="BC39" s="1615"/>
      <c r="BD39" s="1615"/>
      <c r="BE39" s="1628"/>
      <c r="BF39" s="1623"/>
      <c r="BG39" s="1615"/>
      <c r="BH39" s="1615"/>
      <c r="BI39" s="1628"/>
      <c r="BJ39" s="1632"/>
      <c r="BK39" s="1617"/>
      <c r="BL39" s="1617"/>
      <c r="BM39" s="1628"/>
      <c r="BN39" s="1623"/>
      <c r="BO39" s="1615"/>
      <c r="BP39" s="1615"/>
      <c r="BQ39" s="1628"/>
      <c r="BR39" s="1623"/>
      <c r="BS39" s="1615"/>
      <c r="BT39" s="1615"/>
      <c r="BU39" s="1628"/>
      <c r="BV39" s="1633"/>
      <c r="BW39" s="1615"/>
      <c r="BX39" s="1615"/>
      <c r="BY39" s="1628"/>
      <c r="BZ39" s="1623"/>
      <c r="CA39" s="1615"/>
      <c r="CB39" s="1615"/>
      <c r="CC39" s="1628"/>
      <c r="CD39" s="1632"/>
      <c r="CE39" s="1617"/>
      <c r="CF39" s="1617"/>
      <c r="CG39" s="1634"/>
      <c r="CH39" s="1630"/>
      <c r="CI39" s="1616"/>
      <c r="CJ39" s="1616"/>
      <c r="CK39" s="1631"/>
      <c r="CL39" s="1623"/>
      <c r="CM39" s="1615"/>
      <c r="CN39" s="1615"/>
      <c r="CO39" s="1628"/>
      <c r="CP39" s="1638">
        <f>SUM(B39+F39+J39+N39+R39+V39+Z39+AD39+AH39+AL39+AP39+AT39+AX39+BB39+BF39+BJ39+BN39+BR39+BV39+BZ39+CD39+CH39+CL39)</f>
        <v>-988378</v>
      </c>
      <c r="CQ39" s="1618">
        <f>SUM(C39+G39+K39+O39+S39+W39+AA39+AE39+AI39+AM39+AQ39+AU39+AY39+BC39+BG39+BK39+BO39+BS39+BW39+CA39+CE39+CI39+CM39)</f>
        <v>-918255</v>
      </c>
      <c r="CR39" s="1614">
        <f t="shared" si="46"/>
        <v>0</v>
      </c>
      <c r="CS39" s="1619">
        <f>SUM(E39+I39+M39+Q39+U39+Y39+AC39+AG39+AK39+AO39+AS39+AW39+BA39+BE39+BI39+BM39+BQ39+BU39+BY39+CC39+CG39+CK39+CO39)</f>
        <v>0</v>
      </c>
      <c r="CT39" s="1623"/>
      <c r="CU39" s="1615"/>
      <c r="CV39" s="1615"/>
      <c r="CW39" s="1628"/>
      <c r="CX39" s="1638">
        <f>CP39+CT39</f>
        <v>-988378</v>
      </c>
      <c r="CY39" s="1618">
        <f>CQ39+CU39</f>
        <v>-918255</v>
      </c>
      <c r="CZ39" s="1618">
        <v>-988378</v>
      </c>
      <c r="DA39" s="1619">
        <v>-918255</v>
      </c>
    </row>
    <row r="40" spans="1:105" ht="17.25" thickBot="1">
      <c r="A40" s="1621"/>
      <c r="B40" s="1037"/>
      <c r="C40" s="1038"/>
      <c r="D40" s="1038"/>
      <c r="E40" s="1039"/>
      <c r="F40" s="1040">
        <v>321614</v>
      </c>
      <c r="G40" s="1038">
        <v>286609</v>
      </c>
      <c r="H40" s="1038"/>
      <c r="I40" s="1039"/>
      <c r="J40" s="1040"/>
      <c r="K40" s="1038"/>
      <c r="L40" s="1038"/>
      <c r="M40" s="1039"/>
      <c r="N40" s="1040"/>
      <c r="O40" s="1038"/>
      <c r="P40" s="1038"/>
      <c r="Q40" s="1039"/>
      <c r="R40" s="1040"/>
      <c r="S40" s="1038"/>
      <c r="T40" s="1038"/>
      <c r="U40" s="1039"/>
      <c r="V40" s="1040"/>
      <c r="W40" s="1038"/>
      <c r="X40" s="1038"/>
      <c r="Y40" s="1039"/>
      <c r="Z40" s="1040"/>
      <c r="AA40" s="1038"/>
      <c r="AB40" s="1038"/>
      <c r="AC40" s="1039"/>
      <c r="AD40" s="1040">
        <f>AD38+AD39</f>
        <v>477523</v>
      </c>
      <c r="AE40" s="1038">
        <f>AE38+AE39</f>
        <v>450713</v>
      </c>
      <c r="AF40" s="1038"/>
      <c r="AG40" s="1039"/>
      <c r="AH40" s="1040"/>
      <c r="AI40" s="1038"/>
      <c r="AJ40" s="1038"/>
      <c r="AK40" s="1039"/>
      <c r="AL40" s="1040"/>
      <c r="AM40" s="1038"/>
      <c r="AN40" s="1038"/>
      <c r="AO40" s="1039"/>
      <c r="AP40" s="1040"/>
      <c r="AQ40" s="1038"/>
      <c r="AR40" s="1038"/>
      <c r="AS40" s="1039"/>
      <c r="AT40" s="1040"/>
      <c r="AU40" s="1038"/>
      <c r="AV40" s="1038"/>
      <c r="AW40" s="1039"/>
      <c r="AX40" s="1040"/>
      <c r="AY40" s="1038"/>
      <c r="AZ40" s="1038"/>
      <c r="BA40" s="1039"/>
      <c r="BB40" s="1040"/>
      <c r="BC40" s="1038"/>
      <c r="BD40" s="1038"/>
      <c r="BE40" s="1039"/>
      <c r="BF40" s="1040"/>
      <c r="BG40" s="1038"/>
      <c r="BH40" s="1038"/>
      <c r="BI40" s="1039"/>
      <c r="BJ40" s="1040"/>
      <c r="BK40" s="1038"/>
      <c r="BL40" s="1038"/>
      <c r="BM40" s="1039"/>
      <c r="BN40" s="1040"/>
      <c r="BO40" s="1038"/>
      <c r="BP40" s="1038"/>
      <c r="BQ40" s="1039"/>
      <c r="BR40" s="1040"/>
      <c r="BS40" s="1038"/>
      <c r="BT40" s="1038"/>
      <c r="BU40" s="1039"/>
      <c r="BV40" s="1040"/>
      <c r="BW40" s="1038"/>
      <c r="BX40" s="1038"/>
      <c r="BY40" s="1039"/>
      <c r="BZ40" s="1040"/>
      <c r="CA40" s="1038"/>
      <c r="CB40" s="1038"/>
      <c r="CC40" s="1039"/>
      <c r="CD40" s="1040"/>
      <c r="CE40" s="1038"/>
      <c r="CF40" s="1038"/>
      <c r="CG40" s="1039"/>
      <c r="CH40" s="1040"/>
      <c r="CI40" s="1038"/>
      <c r="CJ40" s="1038"/>
      <c r="CK40" s="1039"/>
      <c r="CL40" s="1040"/>
      <c r="CM40" s="1038"/>
      <c r="CN40" s="1038"/>
      <c r="CO40" s="1039"/>
      <c r="CP40" s="1040"/>
      <c r="CQ40" s="1038"/>
      <c r="CR40" s="1038"/>
      <c r="CS40" s="1039"/>
      <c r="CT40" s="1040"/>
      <c r="CU40" s="1038"/>
      <c r="CV40" s="1038"/>
      <c r="CW40" s="1039"/>
      <c r="CX40" s="1040"/>
      <c r="CY40" s="1038"/>
      <c r="CZ40" s="1038"/>
      <c r="DA40" s="1039"/>
    </row>
  </sheetData>
  <sheetProtection/>
  <mergeCells count="29">
    <mergeCell ref="CL3:CO3"/>
    <mergeCell ref="CP3:CS3"/>
    <mergeCell ref="CT3:CW3"/>
    <mergeCell ref="A1:CY1"/>
    <mergeCell ref="A2:CY2"/>
    <mergeCell ref="A3:A4"/>
    <mergeCell ref="B3:E3"/>
    <mergeCell ref="F3:I3"/>
    <mergeCell ref="BR3:BU3"/>
    <mergeCell ref="CX3:DA3"/>
    <mergeCell ref="BZ3:CC3"/>
    <mergeCell ref="CD3:CG3"/>
    <mergeCell ref="CH3:CK3"/>
    <mergeCell ref="BV3:BY3"/>
    <mergeCell ref="AD3:AG3"/>
    <mergeCell ref="AH3:AK3"/>
    <mergeCell ref="AL3:AO3"/>
    <mergeCell ref="AP3:AS3"/>
    <mergeCell ref="AX3:BA3"/>
    <mergeCell ref="BB3:BE3"/>
    <mergeCell ref="BF3:BI3"/>
    <mergeCell ref="BJ3:BM3"/>
    <mergeCell ref="BN3:BQ3"/>
    <mergeCell ref="AT3:AW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G39"/>
  <sheetViews>
    <sheetView zoomScalePageLayoutView="0" workbookViewId="0" topLeftCell="A1">
      <pane xSplit="1" topLeftCell="CM1" activePane="topRight" state="frozen"/>
      <selection pane="topLeft" activeCell="A1" sqref="A1"/>
      <selection pane="topRight" activeCell="BW29" sqref="BW29"/>
    </sheetView>
  </sheetViews>
  <sheetFormatPr defaultColWidth="9.140625" defaultRowHeight="15"/>
  <cols>
    <col min="1" max="1" width="37.28125" style="236" bestFit="1" customWidth="1"/>
    <col min="2" max="2" width="11.7109375" style="0" bestFit="1" customWidth="1"/>
    <col min="3" max="3" width="11.421875" style="0" customWidth="1"/>
    <col min="4" max="4" width="12.421875" style="0" bestFit="1" customWidth="1"/>
    <col min="5" max="5" width="13.28125" style="0" bestFit="1" customWidth="1"/>
    <col min="6" max="6" width="11.140625" style="0" customWidth="1"/>
    <col min="7" max="7" width="11.421875" style="0" bestFit="1" customWidth="1"/>
    <col min="8" max="8" width="11.7109375" style="0" bestFit="1" customWidth="1"/>
    <col min="9" max="9" width="12.421875" style="233" bestFit="1" customWidth="1"/>
    <col min="10" max="11" width="11.421875" style="0" bestFit="1" customWidth="1"/>
    <col min="12" max="12" width="12.421875" style="0" bestFit="1" customWidth="1"/>
    <col min="13" max="13" width="13.28125" style="0" bestFit="1" customWidth="1"/>
    <col min="14" max="15" width="11.421875" style="0" bestFit="1" customWidth="1"/>
    <col min="16" max="16" width="12.421875" style="0" bestFit="1" customWidth="1"/>
    <col min="17" max="17" width="13.28125" style="0" bestFit="1" customWidth="1"/>
    <col min="18" max="19" width="11.421875" style="0" bestFit="1" customWidth="1"/>
    <col min="20" max="21" width="12.421875" style="0" bestFit="1" customWidth="1"/>
    <col min="22" max="23" width="11.421875" style="0" bestFit="1" customWidth="1"/>
    <col min="24" max="24" width="11.7109375" style="0" bestFit="1" customWidth="1"/>
    <col min="25" max="25" width="12.421875" style="0" bestFit="1" customWidth="1"/>
    <col min="26" max="27" width="11.421875" style="0" bestFit="1" customWidth="1"/>
    <col min="28" max="28" width="11.7109375" style="0" bestFit="1" customWidth="1"/>
    <col min="29" max="29" width="12.8515625" style="0" customWidth="1"/>
    <col min="30" max="30" width="11.57421875" style="0" customWidth="1"/>
    <col min="31" max="31" width="11.421875" style="0" bestFit="1" customWidth="1"/>
    <col min="32" max="32" width="11.7109375" style="0" bestFit="1" customWidth="1"/>
    <col min="33" max="33" width="12.421875" style="0" bestFit="1" customWidth="1"/>
    <col min="34" max="35" width="11.421875" style="0" bestFit="1" customWidth="1"/>
    <col min="36" max="36" width="12.421875" style="0" bestFit="1" customWidth="1"/>
    <col min="37" max="37" width="13.28125" style="0" bestFit="1" customWidth="1"/>
    <col min="38" max="39" width="11.421875" style="0" bestFit="1" customWidth="1"/>
    <col min="40" max="40" width="11.7109375" style="0" bestFit="1" customWidth="1"/>
    <col min="41" max="41" width="12.421875" style="0" bestFit="1" customWidth="1"/>
    <col min="42" max="43" width="11.421875" style="233" bestFit="1" customWidth="1"/>
    <col min="44" max="44" width="11.7109375" style="233" bestFit="1" customWidth="1"/>
    <col min="45" max="45" width="13.28125" style="233" bestFit="1" customWidth="1"/>
    <col min="46" max="46" width="11.7109375" style="0" customWidth="1"/>
    <col min="47" max="47" width="11.421875" style="0" bestFit="1" customWidth="1"/>
    <col min="48" max="48" width="12.421875" style="0" bestFit="1" customWidth="1"/>
    <col min="49" max="49" width="13.28125" style="0" bestFit="1" customWidth="1"/>
    <col min="50" max="51" width="11.421875" style="0" bestFit="1" customWidth="1"/>
    <col min="52" max="52" width="12.421875" style="0" bestFit="1" customWidth="1"/>
    <col min="53" max="53" width="13.28125" style="0" bestFit="1" customWidth="1"/>
    <col min="54" max="55" width="11.421875" style="0" bestFit="1" customWidth="1"/>
    <col min="56" max="56" width="12.421875" style="0" bestFit="1" customWidth="1"/>
    <col min="57" max="57" width="13.28125" style="0" bestFit="1" customWidth="1"/>
    <col min="58" max="59" width="11.421875" style="0" bestFit="1" customWidth="1"/>
    <col min="60" max="60" width="12.421875" style="0" bestFit="1" customWidth="1"/>
    <col min="61" max="61" width="13.28125" style="0" bestFit="1" customWidth="1"/>
    <col min="62" max="62" width="11.00390625" style="0" customWidth="1"/>
    <col min="63" max="63" width="10.8515625" style="0" customWidth="1"/>
    <col min="64" max="64" width="12.8515625" style="0" customWidth="1"/>
    <col min="65" max="65" width="13.28125" style="0" bestFit="1" customWidth="1"/>
    <col min="66" max="67" width="11.421875" style="0" bestFit="1" customWidth="1"/>
    <col min="68" max="68" width="11.00390625" style="0" customWidth="1"/>
    <col min="69" max="69" width="13.28125" style="0" bestFit="1" customWidth="1"/>
    <col min="70" max="71" width="11.421875" style="0" bestFit="1" customWidth="1"/>
    <col min="72" max="72" width="12.421875" style="0" bestFit="1" customWidth="1"/>
    <col min="73" max="73" width="13.28125" style="0" bestFit="1" customWidth="1"/>
    <col min="74" max="75" width="11.421875" style="0" bestFit="1" customWidth="1"/>
    <col min="76" max="76" width="12.421875" style="0" bestFit="1" customWidth="1"/>
    <col min="77" max="77" width="13.28125" style="0" bestFit="1" customWidth="1"/>
    <col min="78" max="79" width="11.421875" style="0" customWidth="1"/>
    <col min="80" max="80" width="13.00390625" style="0" customWidth="1"/>
    <col min="81" max="81" width="12.421875" style="0" bestFit="1" customWidth="1"/>
    <col min="82" max="83" width="11.421875" style="233" bestFit="1" customWidth="1"/>
    <col min="84" max="84" width="12.421875" style="233" bestFit="1" customWidth="1"/>
    <col min="85" max="85" width="13.28125" style="233" bestFit="1" customWidth="1"/>
    <col min="86" max="87" width="11.421875" style="233" bestFit="1" customWidth="1"/>
    <col min="88" max="88" width="12.421875" style="233" bestFit="1" customWidth="1"/>
    <col min="89" max="89" width="13.28125" style="233" bestFit="1" customWidth="1"/>
    <col min="90" max="91" width="11.421875" style="233" bestFit="1" customWidth="1"/>
    <col min="92" max="92" width="11.7109375" style="233" bestFit="1" customWidth="1"/>
    <col min="93" max="93" width="12.421875" style="233" bestFit="1" customWidth="1"/>
    <col min="94" max="95" width="11.421875" style="234" bestFit="1" customWidth="1"/>
    <col min="96" max="97" width="12.421875" style="234" bestFit="1" customWidth="1"/>
    <col min="98" max="99" width="11.421875" style="234" bestFit="1" customWidth="1"/>
    <col min="100" max="100" width="12.421875" style="234" bestFit="1" customWidth="1"/>
    <col min="101" max="101" width="13.28125" style="234" bestFit="1" customWidth="1"/>
    <col min="102" max="103" width="11.421875" style="234" bestFit="1" customWidth="1"/>
    <col min="104" max="104" width="12.421875" style="234" bestFit="1" customWidth="1"/>
    <col min="105" max="105" width="13.28125" style="234" bestFit="1" customWidth="1"/>
    <col min="109" max="109" width="11.421875" style="0" customWidth="1"/>
    <col min="110" max="110" width="13.00390625" style="0" customWidth="1"/>
    <col min="111" max="111" width="11.57421875" style="0" customWidth="1"/>
  </cols>
  <sheetData>
    <row r="1" spans="1:105" s="139" customFormat="1" ht="13.5" customHeight="1">
      <c r="A1" s="1966" t="s">
        <v>183</v>
      </c>
      <c r="B1" s="1966"/>
      <c r="C1" s="1966"/>
      <c r="D1" s="1966"/>
      <c r="E1" s="1966"/>
      <c r="F1" s="1966"/>
      <c r="G1" s="1966"/>
      <c r="H1" s="1966"/>
      <c r="I1" s="1966"/>
      <c r="J1" s="1966"/>
      <c r="K1" s="1966"/>
      <c r="L1" s="1966"/>
      <c r="M1" s="1966"/>
      <c r="N1" s="1966"/>
      <c r="O1" s="1966"/>
      <c r="P1" s="1966"/>
      <c r="Q1" s="1966"/>
      <c r="R1" s="1966"/>
      <c r="S1" s="1966"/>
      <c r="T1" s="1966"/>
      <c r="U1" s="1966"/>
      <c r="V1" s="1966"/>
      <c r="W1" s="1966"/>
      <c r="X1" s="1966"/>
      <c r="Y1" s="1966"/>
      <c r="Z1" s="1966"/>
      <c r="AA1" s="1966"/>
      <c r="AB1" s="1966"/>
      <c r="AC1" s="1966"/>
      <c r="AD1" s="1966"/>
      <c r="AE1" s="1966"/>
      <c r="AF1" s="1966"/>
      <c r="AG1" s="1966"/>
      <c r="AH1" s="1966"/>
      <c r="AI1" s="1966"/>
      <c r="AJ1" s="1966"/>
      <c r="AK1" s="1966"/>
      <c r="AL1" s="1966"/>
      <c r="AM1" s="1966"/>
      <c r="AN1" s="1966"/>
      <c r="AO1" s="1966"/>
      <c r="AP1" s="1966"/>
      <c r="AQ1" s="1966"/>
      <c r="AR1" s="1966"/>
      <c r="AS1" s="1966"/>
      <c r="AT1" s="1966"/>
      <c r="AU1" s="1966"/>
      <c r="AV1" s="1966"/>
      <c r="AW1" s="1966"/>
      <c r="AX1" s="1966"/>
      <c r="AY1" s="1966"/>
      <c r="AZ1" s="1966"/>
      <c r="BA1" s="1966"/>
      <c r="BB1" s="1966"/>
      <c r="BC1" s="1966"/>
      <c r="BD1" s="1966"/>
      <c r="BE1" s="1966"/>
      <c r="BF1" s="1966"/>
      <c r="BG1" s="1966"/>
      <c r="BH1" s="1966"/>
      <c r="BI1" s="1966"/>
      <c r="BJ1" s="1966"/>
      <c r="BK1" s="1966"/>
      <c r="BL1" s="1966"/>
      <c r="BM1" s="1966"/>
      <c r="BN1" s="1966"/>
      <c r="BO1" s="1966"/>
      <c r="BP1" s="1966"/>
      <c r="BQ1" s="1966"/>
      <c r="BR1" s="1966"/>
      <c r="BS1" s="1966"/>
      <c r="BT1" s="1966"/>
      <c r="BU1" s="1966"/>
      <c r="BV1" s="1966"/>
      <c r="BW1" s="1966"/>
      <c r="BX1" s="1966"/>
      <c r="BY1" s="1966"/>
      <c r="BZ1" s="1966"/>
      <c r="CA1" s="1966"/>
      <c r="CB1" s="1966"/>
      <c r="CC1" s="1966"/>
      <c r="CD1" s="1966"/>
      <c r="CE1" s="1966"/>
      <c r="CF1" s="1966"/>
      <c r="CG1" s="1966"/>
      <c r="CH1" s="1966"/>
      <c r="CI1" s="1966"/>
      <c r="CJ1" s="1966"/>
      <c r="CK1" s="1966"/>
      <c r="CL1" s="1966"/>
      <c r="CM1" s="1966"/>
      <c r="CN1" s="1966"/>
      <c r="CO1" s="1966"/>
      <c r="CP1" s="1966"/>
      <c r="CQ1" s="1966"/>
      <c r="CR1" s="1966"/>
      <c r="CS1" s="1966"/>
      <c r="CT1" s="1966"/>
      <c r="CU1" s="1966"/>
      <c r="CV1" s="1966"/>
      <c r="CW1" s="1966"/>
      <c r="CX1" s="1966"/>
      <c r="CY1" s="1966"/>
      <c r="CZ1" s="184"/>
      <c r="DA1" s="184"/>
    </row>
    <row r="2" spans="1:105" s="139" customFormat="1" ht="14.25" customHeight="1" thickBot="1">
      <c r="A2" s="1967" t="s">
        <v>59</v>
      </c>
      <c r="B2" s="1967"/>
      <c r="C2" s="1967"/>
      <c r="D2" s="1967"/>
      <c r="E2" s="1967"/>
      <c r="F2" s="1967"/>
      <c r="G2" s="1967"/>
      <c r="H2" s="1967"/>
      <c r="I2" s="1967"/>
      <c r="J2" s="1967"/>
      <c r="K2" s="1967"/>
      <c r="L2" s="1967"/>
      <c r="M2" s="1967"/>
      <c r="N2" s="1967"/>
      <c r="O2" s="1967"/>
      <c r="P2" s="1967"/>
      <c r="Q2" s="1967"/>
      <c r="R2" s="1967"/>
      <c r="S2" s="1967"/>
      <c r="T2" s="1967"/>
      <c r="U2" s="1967"/>
      <c r="V2" s="1967"/>
      <c r="W2" s="1967"/>
      <c r="X2" s="1967"/>
      <c r="Y2" s="1967"/>
      <c r="Z2" s="1967"/>
      <c r="AA2" s="1967"/>
      <c r="AB2" s="1967"/>
      <c r="AC2" s="1967"/>
      <c r="AD2" s="1967"/>
      <c r="AE2" s="1967"/>
      <c r="AF2" s="1967"/>
      <c r="AG2" s="1967"/>
      <c r="AH2" s="1967"/>
      <c r="AI2" s="1967"/>
      <c r="AJ2" s="1967"/>
      <c r="AK2" s="1967"/>
      <c r="AL2" s="1967"/>
      <c r="AM2" s="1967"/>
      <c r="AN2" s="1967"/>
      <c r="AO2" s="1967"/>
      <c r="AP2" s="1967"/>
      <c r="AQ2" s="1967"/>
      <c r="AR2" s="1967"/>
      <c r="AS2" s="1967"/>
      <c r="AT2" s="1967"/>
      <c r="AU2" s="1967"/>
      <c r="AV2" s="1967"/>
      <c r="AW2" s="1967"/>
      <c r="AX2" s="1967"/>
      <c r="AY2" s="1967"/>
      <c r="AZ2" s="1967"/>
      <c r="BA2" s="1967"/>
      <c r="BB2" s="1967"/>
      <c r="BC2" s="1967"/>
      <c r="BD2" s="1967"/>
      <c r="BE2" s="1967"/>
      <c r="BF2" s="1967"/>
      <c r="BG2" s="1967"/>
      <c r="BH2" s="1967"/>
      <c r="BI2" s="1967"/>
      <c r="BJ2" s="1967"/>
      <c r="BK2" s="1967"/>
      <c r="BL2" s="1967"/>
      <c r="BM2" s="1967"/>
      <c r="BN2" s="1967"/>
      <c r="BO2" s="1967"/>
      <c r="BP2" s="1967"/>
      <c r="BQ2" s="1967"/>
      <c r="BR2" s="1967"/>
      <c r="BS2" s="1967"/>
      <c r="BT2" s="1967"/>
      <c r="BU2" s="1967"/>
      <c r="BV2" s="1967"/>
      <c r="BW2" s="1967"/>
      <c r="BX2" s="1967"/>
      <c r="BY2" s="1967"/>
      <c r="BZ2" s="1967"/>
      <c r="CA2" s="1967"/>
      <c r="CB2" s="1967"/>
      <c r="CC2" s="1967"/>
      <c r="CD2" s="1967"/>
      <c r="CE2" s="1967"/>
      <c r="CF2" s="1967"/>
      <c r="CG2" s="1967"/>
      <c r="CH2" s="1967"/>
      <c r="CI2" s="1967"/>
      <c r="CJ2" s="1967"/>
      <c r="CK2" s="1967"/>
      <c r="CL2" s="1967"/>
      <c r="CM2" s="1967"/>
      <c r="CN2" s="1967"/>
      <c r="CO2" s="1967"/>
      <c r="CP2" s="1967"/>
      <c r="CQ2" s="1967"/>
      <c r="CR2" s="1967"/>
      <c r="CS2" s="1967"/>
      <c r="CT2" s="1967"/>
      <c r="CU2" s="1967"/>
      <c r="CV2" s="1967"/>
      <c r="CW2" s="1967"/>
      <c r="CX2" s="1967"/>
      <c r="CY2" s="1967"/>
      <c r="CZ2" s="184"/>
      <c r="DA2" s="184"/>
    </row>
    <row r="3" spans="1:105" s="139" customFormat="1" ht="38.25" customHeight="1" thickBot="1">
      <c r="A3" s="1968" t="s">
        <v>0</v>
      </c>
      <c r="B3" s="1879" t="s">
        <v>187</v>
      </c>
      <c r="C3" s="1970"/>
      <c r="D3" s="1970"/>
      <c r="E3" s="1971"/>
      <c r="F3" s="1949" t="s">
        <v>188</v>
      </c>
      <c r="G3" s="1949"/>
      <c r="H3" s="1949"/>
      <c r="I3" s="1950"/>
      <c r="J3" s="1949" t="s">
        <v>189</v>
      </c>
      <c r="K3" s="1949"/>
      <c r="L3" s="1949"/>
      <c r="M3" s="1950"/>
      <c r="N3" s="1949" t="s">
        <v>190</v>
      </c>
      <c r="O3" s="1949"/>
      <c r="P3" s="1949"/>
      <c r="Q3" s="1950"/>
      <c r="R3" s="1949" t="s">
        <v>191</v>
      </c>
      <c r="S3" s="1949"/>
      <c r="T3" s="1949"/>
      <c r="U3" s="1950"/>
      <c r="V3" s="1949" t="s">
        <v>192</v>
      </c>
      <c r="W3" s="1949"/>
      <c r="X3" s="1949"/>
      <c r="Y3" s="1950"/>
      <c r="Z3" s="1949" t="s">
        <v>193</v>
      </c>
      <c r="AA3" s="1949"/>
      <c r="AB3" s="1949"/>
      <c r="AC3" s="1950"/>
      <c r="AD3" s="1949" t="s">
        <v>194</v>
      </c>
      <c r="AE3" s="1949"/>
      <c r="AF3" s="1949"/>
      <c r="AG3" s="1950"/>
      <c r="AH3" s="1948" t="s">
        <v>195</v>
      </c>
      <c r="AI3" s="1949"/>
      <c r="AJ3" s="1949"/>
      <c r="AK3" s="1950"/>
      <c r="AL3" s="1948" t="s">
        <v>196</v>
      </c>
      <c r="AM3" s="1949"/>
      <c r="AN3" s="1949"/>
      <c r="AO3" s="1950"/>
      <c r="AP3" s="1956" t="s">
        <v>197</v>
      </c>
      <c r="AQ3" s="1954"/>
      <c r="AR3" s="1954"/>
      <c r="AS3" s="1955"/>
      <c r="AT3" s="1948" t="s">
        <v>198</v>
      </c>
      <c r="AU3" s="1949"/>
      <c r="AV3" s="1949"/>
      <c r="AW3" s="1950"/>
      <c r="AX3" s="1948" t="s">
        <v>199</v>
      </c>
      <c r="AY3" s="1949"/>
      <c r="AZ3" s="1949"/>
      <c r="BA3" s="1950"/>
      <c r="BB3" s="1948" t="s">
        <v>200</v>
      </c>
      <c r="BC3" s="1949"/>
      <c r="BD3" s="1949"/>
      <c r="BE3" s="1950"/>
      <c r="BF3" s="1963" t="s">
        <v>201</v>
      </c>
      <c r="BG3" s="1964"/>
      <c r="BH3" s="1964"/>
      <c r="BI3" s="1965"/>
      <c r="BJ3" s="1972" t="s">
        <v>202</v>
      </c>
      <c r="BK3" s="1973"/>
      <c r="BL3" s="1973"/>
      <c r="BM3" s="1974"/>
      <c r="BN3" s="1948" t="s">
        <v>203</v>
      </c>
      <c r="BO3" s="1949"/>
      <c r="BP3" s="1949"/>
      <c r="BQ3" s="1950"/>
      <c r="BR3" s="1948" t="s">
        <v>204</v>
      </c>
      <c r="BS3" s="1949"/>
      <c r="BT3" s="1949"/>
      <c r="BU3" s="1950"/>
      <c r="BV3" s="1963" t="s">
        <v>205</v>
      </c>
      <c r="BW3" s="1964"/>
      <c r="BX3" s="1964"/>
      <c r="BY3" s="1965"/>
      <c r="BZ3" s="1948" t="s">
        <v>206</v>
      </c>
      <c r="CA3" s="1949"/>
      <c r="CB3" s="1949"/>
      <c r="CC3" s="1950"/>
      <c r="CD3" s="1954" t="s">
        <v>207</v>
      </c>
      <c r="CE3" s="1954"/>
      <c r="CF3" s="1954"/>
      <c r="CG3" s="1955"/>
      <c r="CH3" s="1956" t="s">
        <v>208</v>
      </c>
      <c r="CI3" s="1954"/>
      <c r="CJ3" s="1954"/>
      <c r="CK3" s="1955"/>
      <c r="CL3" s="1956" t="s">
        <v>209</v>
      </c>
      <c r="CM3" s="1954"/>
      <c r="CN3" s="1954"/>
      <c r="CO3" s="1955"/>
      <c r="CP3" s="1957" t="s">
        <v>1</v>
      </c>
      <c r="CQ3" s="1958"/>
      <c r="CR3" s="1958"/>
      <c r="CS3" s="1959"/>
      <c r="CT3" s="1960" t="s">
        <v>210</v>
      </c>
      <c r="CU3" s="1961"/>
      <c r="CV3" s="1961"/>
      <c r="CW3" s="1962"/>
      <c r="CX3" s="1951" t="s">
        <v>2</v>
      </c>
      <c r="CY3" s="1952"/>
      <c r="CZ3" s="1952"/>
      <c r="DA3" s="1953"/>
    </row>
    <row r="4" spans="1:105" s="834" customFormat="1" ht="15" customHeight="1" thickBot="1">
      <c r="A4" s="1969"/>
      <c r="B4" s="985" t="s">
        <v>440</v>
      </c>
      <c r="C4" s="922" t="s">
        <v>441</v>
      </c>
      <c r="D4" s="985" t="s">
        <v>444</v>
      </c>
      <c r="E4" s="912" t="s">
        <v>445</v>
      </c>
      <c r="F4" s="922" t="s">
        <v>440</v>
      </c>
      <c r="G4" s="922" t="s">
        <v>441</v>
      </c>
      <c r="H4" s="985" t="s">
        <v>444</v>
      </c>
      <c r="I4" s="912" t="s">
        <v>445</v>
      </c>
      <c r="J4" s="922" t="s">
        <v>440</v>
      </c>
      <c r="K4" s="922" t="s">
        <v>441</v>
      </c>
      <c r="L4" s="985" t="s">
        <v>444</v>
      </c>
      <c r="M4" s="912" t="s">
        <v>445</v>
      </c>
      <c r="N4" s="922" t="s">
        <v>440</v>
      </c>
      <c r="O4" s="922" t="s">
        <v>441</v>
      </c>
      <c r="P4" s="985" t="s">
        <v>444</v>
      </c>
      <c r="Q4" s="912" t="s">
        <v>445</v>
      </c>
      <c r="R4" s="922" t="s">
        <v>440</v>
      </c>
      <c r="S4" s="922" t="s">
        <v>441</v>
      </c>
      <c r="T4" s="985" t="s">
        <v>444</v>
      </c>
      <c r="U4" s="912" t="s">
        <v>445</v>
      </c>
      <c r="V4" s="922" t="s">
        <v>440</v>
      </c>
      <c r="W4" s="922" t="s">
        <v>441</v>
      </c>
      <c r="X4" s="985" t="s">
        <v>444</v>
      </c>
      <c r="Y4" s="912" t="s">
        <v>445</v>
      </c>
      <c r="Z4" s="922" t="s">
        <v>440</v>
      </c>
      <c r="AA4" s="922" t="s">
        <v>441</v>
      </c>
      <c r="AB4" s="985" t="s">
        <v>444</v>
      </c>
      <c r="AC4" s="912" t="s">
        <v>445</v>
      </c>
      <c r="AD4" s="922" t="s">
        <v>440</v>
      </c>
      <c r="AE4" s="922" t="s">
        <v>441</v>
      </c>
      <c r="AF4" s="985" t="s">
        <v>444</v>
      </c>
      <c r="AG4" s="912" t="s">
        <v>445</v>
      </c>
      <c r="AH4" s="985" t="s">
        <v>440</v>
      </c>
      <c r="AI4" s="922" t="s">
        <v>441</v>
      </c>
      <c r="AJ4" s="985" t="s">
        <v>444</v>
      </c>
      <c r="AK4" s="912" t="s">
        <v>445</v>
      </c>
      <c r="AL4" s="985" t="s">
        <v>440</v>
      </c>
      <c r="AM4" s="922" t="s">
        <v>441</v>
      </c>
      <c r="AN4" s="985" t="s">
        <v>444</v>
      </c>
      <c r="AO4" s="912" t="s">
        <v>445</v>
      </c>
      <c r="AP4" s="985" t="s">
        <v>440</v>
      </c>
      <c r="AQ4" s="922" t="s">
        <v>441</v>
      </c>
      <c r="AR4" s="985" t="s">
        <v>444</v>
      </c>
      <c r="AS4" s="912" t="s">
        <v>445</v>
      </c>
      <c r="AT4" s="985" t="s">
        <v>440</v>
      </c>
      <c r="AU4" s="922" t="s">
        <v>441</v>
      </c>
      <c r="AV4" s="985" t="s">
        <v>444</v>
      </c>
      <c r="AW4" s="912" t="s">
        <v>445</v>
      </c>
      <c r="AX4" s="985" t="s">
        <v>440</v>
      </c>
      <c r="AY4" s="922" t="s">
        <v>441</v>
      </c>
      <c r="AZ4" s="985" t="s">
        <v>444</v>
      </c>
      <c r="BA4" s="912" t="s">
        <v>445</v>
      </c>
      <c r="BB4" s="985" t="s">
        <v>440</v>
      </c>
      <c r="BC4" s="922" t="s">
        <v>441</v>
      </c>
      <c r="BD4" s="985" t="s">
        <v>444</v>
      </c>
      <c r="BE4" s="912" t="s">
        <v>445</v>
      </c>
      <c r="BF4" s="985" t="s">
        <v>440</v>
      </c>
      <c r="BG4" s="922" t="s">
        <v>441</v>
      </c>
      <c r="BH4" s="985" t="s">
        <v>444</v>
      </c>
      <c r="BI4" s="912" t="s">
        <v>445</v>
      </c>
      <c r="BJ4" s="985" t="s">
        <v>440</v>
      </c>
      <c r="BK4" s="922" t="s">
        <v>441</v>
      </c>
      <c r="BL4" s="985" t="s">
        <v>444</v>
      </c>
      <c r="BM4" s="912" t="s">
        <v>445</v>
      </c>
      <c r="BN4" s="985" t="s">
        <v>440</v>
      </c>
      <c r="BO4" s="922" t="s">
        <v>441</v>
      </c>
      <c r="BP4" s="985" t="s">
        <v>444</v>
      </c>
      <c r="BQ4" s="912" t="s">
        <v>445</v>
      </c>
      <c r="BR4" s="985" t="s">
        <v>440</v>
      </c>
      <c r="BS4" s="922" t="s">
        <v>441</v>
      </c>
      <c r="BT4" s="985" t="s">
        <v>444</v>
      </c>
      <c r="BU4" s="912" t="s">
        <v>445</v>
      </c>
      <c r="BV4" s="985" t="s">
        <v>440</v>
      </c>
      <c r="BW4" s="922" t="s">
        <v>441</v>
      </c>
      <c r="BX4" s="985" t="s">
        <v>444</v>
      </c>
      <c r="BY4" s="912" t="s">
        <v>445</v>
      </c>
      <c r="BZ4" s="985" t="s">
        <v>440</v>
      </c>
      <c r="CA4" s="922" t="s">
        <v>441</v>
      </c>
      <c r="CB4" s="985" t="s">
        <v>444</v>
      </c>
      <c r="CC4" s="912" t="s">
        <v>445</v>
      </c>
      <c r="CD4" s="922" t="s">
        <v>440</v>
      </c>
      <c r="CE4" s="922" t="s">
        <v>441</v>
      </c>
      <c r="CF4" s="985" t="s">
        <v>444</v>
      </c>
      <c r="CG4" s="912" t="s">
        <v>445</v>
      </c>
      <c r="CH4" s="985" t="s">
        <v>440</v>
      </c>
      <c r="CI4" s="922" t="s">
        <v>441</v>
      </c>
      <c r="CJ4" s="985" t="s">
        <v>444</v>
      </c>
      <c r="CK4" s="912" t="s">
        <v>445</v>
      </c>
      <c r="CL4" s="985" t="s">
        <v>440</v>
      </c>
      <c r="CM4" s="922" t="s">
        <v>441</v>
      </c>
      <c r="CN4" s="985" t="s">
        <v>444</v>
      </c>
      <c r="CO4" s="912" t="s">
        <v>445</v>
      </c>
      <c r="CP4" s="985" t="s">
        <v>440</v>
      </c>
      <c r="CQ4" s="922" t="s">
        <v>441</v>
      </c>
      <c r="CR4" s="985" t="s">
        <v>444</v>
      </c>
      <c r="CS4" s="912" t="s">
        <v>445</v>
      </c>
      <c r="CT4" s="985" t="s">
        <v>440</v>
      </c>
      <c r="CU4" s="922" t="s">
        <v>441</v>
      </c>
      <c r="CV4" s="985" t="s">
        <v>444</v>
      </c>
      <c r="CW4" s="912" t="s">
        <v>445</v>
      </c>
      <c r="CX4" s="985" t="s">
        <v>440</v>
      </c>
      <c r="CY4" s="922" t="s">
        <v>441</v>
      </c>
      <c r="CZ4" s="985" t="s">
        <v>444</v>
      </c>
      <c r="DA4" s="912" t="s">
        <v>445</v>
      </c>
    </row>
    <row r="5" spans="1:105" s="144" customFormat="1" ht="15" customHeight="1" thickBot="1">
      <c r="A5" s="237" t="s">
        <v>30</v>
      </c>
      <c r="B5" s="238"/>
      <c r="C5" s="239"/>
      <c r="D5" s="239"/>
      <c r="E5" s="240"/>
      <c r="F5" s="241"/>
      <c r="G5" s="239"/>
      <c r="H5" s="239"/>
      <c r="I5" s="242"/>
      <c r="J5" s="243"/>
      <c r="K5" s="244"/>
      <c r="L5" s="244"/>
      <c r="M5" s="242"/>
      <c r="N5" s="243"/>
      <c r="O5" s="244"/>
      <c r="P5" s="244"/>
      <c r="Q5" s="242"/>
      <c r="R5" s="243"/>
      <c r="S5" s="244"/>
      <c r="T5" s="244"/>
      <c r="U5" s="242"/>
      <c r="V5" s="243"/>
      <c r="W5" s="244"/>
      <c r="X5" s="244"/>
      <c r="Y5" s="242"/>
      <c r="Z5" s="243"/>
      <c r="AA5" s="244"/>
      <c r="AB5" s="244"/>
      <c r="AC5" s="242"/>
      <c r="AD5" s="241"/>
      <c r="AE5" s="239"/>
      <c r="AF5" s="239"/>
      <c r="AG5" s="240"/>
      <c r="AH5" s="238"/>
      <c r="AI5" s="239"/>
      <c r="AJ5" s="239"/>
      <c r="AK5" s="240"/>
      <c r="AL5" s="238"/>
      <c r="AM5" s="239"/>
      <c r="AN5" s="239"/>
      <c r="AO5" s="240"/>
      <c r="AP5" s="246"/>
      <c r="AQ5" s="244"/>
      <c r="AR5" s="244"/>
      <c r="AS5" s="242"/>
      <c r="AT5" s="238"/>
      <c r="AU5" s="239"/>
      <c r="AV5" s="239"/>
      <c r="AW5" s="240"/>
      <c r="AX5" s="238"/>
      <c r="AY5" s="239"/>
      <c r="AZ5" s="239"/>
      <c r="BA5" s="240"/>
      <c r="BB5" s="238"/>
      <c r="BC5" s="239"/>
      <c r="BD5" s="239"/>
      <c r="BE5" s="240"/>
      <c r="BF5" s="238"/>
      <c r="BG5" s="239"/>
      <c r="BH5" s="239"/>
      <c r="BI5" s="240"/>
      <c r="BJ5" s="238"/>
      <c r="BK5" s="239"/>
      <c r="BL5" s="239"/>
      <c r="BM5" s="240"/>
      <c r="BN5" s="238"/>
      <c r="BO5" s="239"/>
      <c r="BP5" s="239"/>
      <c r="BQ5" s="240"/>
      <c r="BR5" s="238"/>
      <c r="BS5" s="239"/>
      <c r="BT5" s="239"/>
      <c r="BU5" s="240"/>
      <c r="BV5" s="320"/>
      <c r="BW5" s="321"/>
      <c r="BX5" s="321"/>
      <c r="BY5" s="322"/>
      <c r="BZ5" s="326"/>
      <c r="CA5" s="327"/>
      <c r="CB5" s="327"/>
      <c r="CC5" s="1607"/>
      <c r="CD5" s="243"/>
      <c r="CE5" s="244"/>
      <c r="CF5" s="244"/>
      <c r="CG5" s="242"/>
      <c r="CH5" s="246"/>
      <c r="CI5" s="244"/>
      <c r="CJ5" s="244"/>
      <c r="CK5" s="242"/>
      <c r="CL5" s="246"/>
      <c r="CM5" s="244"/>
      <c r="CN5" s="244"/>
      <c r="CO5" s="242"/>
      <c r="CP5" s="246"/>
      <c r="CQ5" s="244"/>
      <c r="CR5" s="244"/>
      <c r="CS5" s="242"/>
      <c r="CT5" s="246"/>
      <c r="CU5" s="244"/>
      <c r="CV5" s="244"/>
      <c r="CW5" s="242"/>
      <c r="CX5" s="246"/>
      <c r="CY5" s="244"/>
      <c r="CZ5" s="248"/>
      <c r="DA5" s="249"/>
    </row>
    <row r="6" spans="1:105" s="144" customFormat="1" ht="15" thickBot="1">
      <c r="A6" s="179" t="s">
        <v>31</v>
      </c>
      <c r="B6" s="185">
        <v>1661663</v>
      </c>
      <c r="C6" s="145">
        <v>1066219</v>
      </c>
      <c r="D6" s="145">
        <f>B6</f>
        <v>1661663</v>
      </c>
      <c r="E6" s="146">
        <f>C6</f>
        <v>1066219</v>
      </c>
      <c r="F6" s="186">
        <v>314294</v>
      </c>
      <c r="G6" s="148">
        <v>241945</v>
      </c>
      <c r="H6" s="148">
        <f>F6</f>
        <v>314294</v>
      </c>
      <c r="I6" s="149">
        <f>G6</f>
        <v>241945</v>
      </c>
      <c r="J6" s="187">
        <v>205501</v>
      </c>
      <c r="K6" s="152">
        <v>203852</v>
      </c>
      <c r="L6" s="152">
        <f>J6</f>
        <v>205501</v>
      </c>
      <c r="M6" s="153">
        <f>K6</f>
        <v>203852</v>
      </c>
      <c r="N6" s="187">
        <v>2890245</v>
      </c>
      <c r="O6" s="152">
        <v>2662639</v>
      </c>
      <c r="P6" s="152">
        <f>N6</f>
        <v>2890245</v>
      </c>
      <c r="Q6" s="153">
        <f>O6</f>
        <v>2662639</v>
      </c>
      <c r="R6" s="187">
        <v>236092</v>
      </c>
      <c r="S6" s="152">
        <v>207818</v>
      </c>
      <c r="T6" s="152">
        <f>R6</f>
        <v>236092</v>
      </c>
      <c r="U6" s="153">
        <f>S6</f>
        <v>207818</v>
      </c>
      <c r="V6" s="187">
        <v>540502</v>
      </c>
      <c r="W6" s="152">
        <v>313561</v>
      </c>
      <c r="X6" s="152">
        <f>V6</f>
        <v>540502</v>
      </c>
      <c r="Y6" s="153">
        <f>W6</f>
        <v>313561</v>
      </c>
      <c r="Z6" s="187">
        <v>851914</v>
      </c>
      <c r="AA6" s="152">
        <v>726776</v>
      </c>
      <c r="AB6" s="187">
        <f>Z6</f>
        <v>851914</v>
      </c>
      <c r="AC6" s="1605">
        <f>AA6</f>
        <v>726776</v>
      </c>
      <c r="AD6" s="186">
        <v>125650</v>
      </c>
      <c r="AE6" s="148">
        <v>100805</v>
      </c>
      <c r="AF6" s="148">
        <f>AD6</f>
        <v>125650</v>
      </c>
      <c r="AG6" s="149">
        <f>AE6</f>
        <v>100805</v>
      </c>
      <c r="AH6" s="147">
        <v>689254</v>
      </c>
      <c r="AI6" s="148">
        <v>547418</v>
      </c>
      <c r="AJ6" s="148">
        <f>AH6</f>
        <v>689254</v>
      </c>
      <c r="AK6" s="149">
        <f>AI6</f>
        <v>547418</v>
      </c>
      <c r="AL6" s="147">
        <v>343407</v>
      </c>
      <c r="AM6" s="148">
        <v>160724</v>
      </c>
      <c r="AN6" s="148">
        <f>AL6</f>
        <v>343407</v>
      </c>
      <c r="AO6" s="149">
        <f>AM6</f>
        <v>160724</v>
      </c>
      <c r="AP6" s="151">
        <v>5191251</v>
      </c>
      <c r="AQ6" s="152">
        <v>2714048</v>
      </c>
      <c r="AR6" s="152">
        <f>AP6</f>
        <v>5191251</v>
      </c>
      <c r="AS6" s="153">
        <f>AQ6</f>
        <v>2714048</v>
      </c>
      <c r="AT6" s="147">
        <v>4235881</v>
      </c>
      <c r="AU6" s="148">
        <v>2549382</v>
      </c>
      <c r="AV6" s="148">
        <f>AT6</f>
        <v>4235881</v>
      </c>
      <c r="AW6" s="149">
        <f>AU6</f>
        <v>2549382</v>
      </c>
      <c r="AX6" s="154">
        <v>166409</v>
      </c>
      <c r="AY6" s="155">
        <v>150421</v>
      </c>
      <c r="AZ6" s="155">
        <f>AX6</f>
        <v>166409</v>
      </c>
      <c r="BA6" s="156">
        <f>AY6</f>
        <v>150421</v>
      </c>
      <c r="BB6" s="147">
        <v>856397</v>
      </c>
      <c r="BC6" s="148">
        <v>607077</v>
      </c>
      <c r="BD6" s="148">
        <f>BB6</f>
        <v>856397</v>
      </c>
      <c r="BE6" s="149">
        <f>BC6</f>
        <v>607077</v>
      </c>
      <c r="BF6" s="147">
        <v>1895789</v>
      </c>
      <c r="BG6" s="148">
        <v>1588616</v>
      </c>
      <c r="BH6" s="148">
        <f>BF6</f>
        <v>1895789</v>
      </c>
      <c r="BI6" s="149">
        <f>BG6</f>
        <v>1588616</v>
      </c>
      <c r="BJ6" s="147">
        <v>2163200</v>
      </c>
      <c r="BK6" s="148">
        <v>1384487</v>
      </c>
      <c r="BL6" s="148">
        <f>BJ6</f>
        <v>2163200</v>
      </c>
      <c r="BM6" s="149">
        <f>BK6</f>
        <v>1384487</v>
      </c>
      <c r="BN6" s="147">
        <v>1114497</v>
      </c>
      <c r="BO6" s="148">
        <v>756570</v>
      </c>
      <c r="BP6" s="148">
        <f>BN6</f>
        <v>1114497</v>
      </c>
      <c r="BQ6" s="148">
        <f>BO6</f>
        <v>756570</v>
      </c>
      <c r="BR6" s="147">
        <v>448066</v>
      </c>
      <c r="BS6" s="148">
        <v>554958</v>
      </c>
      <c r="BT6" s="148">
        <f aca="true" t="shared" si="0" ref="BT6:BU9">BR6</f>
        <v>448066</v>
      </c>
      <c r="BU6" s="149">
        <f t="shared" si="0"/>
        <v>554958</v>
      </c>
      <c r="BV6" s="157"/>
      <c r="BW6" s="148"/>
      <c r="BX6" s="148"/>
      <c r="BY6" s="149"/>
      <c r="BZ6" s="328">
        <v>4716124</v>
      </c>
      <c r="CA6" s="329">
        <v>3999476</v>
      </c>
      <c r="CB6" s="329">
        <f aca="true" t="shared" si="1" ref="CB6:CC9">BZ6</f>
        <v>4716124</v>
      </c>
      <c r="CC6" s="330">
        <f t="shared" si="1"/>
        <v>3999476</v>
      </c>
      <c r="CD6" s="323">
        <v>636329</v>
      </c>
      <c r="CE6" s="173">
        <v>522948</v>
      </c>
      <c r="CF6" s="173">
        <f>CD6</f>
        <v>636329</v>
      </c>
      <c r="CG6" s="1608">
        <f>CE6</f>
        <v>522948</v>
      </c>
      <c r="CH6" s="174">
        <v>387847</v>
      </c>
      <c r="CI6" s="175">
        <v>423831</v>
      </c>
      <c r="CJ6" s="175">
        <f>CH6</f>
        <v>387847</v>
      </c>
      <c r="CK6" s="176">
        <f>CI6</f>
        <v>423831</v>
      </c>
      <c r="CL6" s="151">
        <v>624278</v>
      </c>
      <c r="CM6" s="152">
        <v>515362</v>
      </c>
      <c r="CN6" s="152">
        <f>CL6</f>
        <v>624278</v>
      </c>
      <c r="CO6" s="153">
        <f>CM6</f>
        <v>515362</v>
      </c>
      <c r="CP6" s="177">
        <f>SUM(B6+F6+J6+N6+R6+V6+Z6+AD6+AH6+AL6+AP6+AT6+AX6+BB6+BF6+BJ6+BN6+BR6+BV6+BZ6+CD6+CH6+CL6)</f>
        <v>30294590</v>
      </c>
      <c r="CQ6" s="189">
        <f aca="true" t="shared" si="2" ref="CQ6:CS21">SUM(C6+G6+K6+O6+S6+W6+AA6+AE6+AI6+AM6+AQ6+AU6+AY6+BC6+BG6+BK6+BO6+BS6+BW6+CA6+CE6+CI6+CM6)</f>
        <v>21998933</v>
      </c>
      <c r="CR6" s="189">
        <f t="shared" si="2"/>
        <v>30294590</v>
      </c>
      <c r="CS6" s="191">
        <f t="shared" si="2"/>
        <v>21998933</v>
      </c>
      <c r="CT6" s="174">
        <v>39423726</v>
      </c>
      <c r="CU6" s="175">
        <v>35991664</v>
      </c>
      <c r="CV6" s="175">
        <f>CT6</f>
        <v>39423726</v>
      </c>
      <c r="CW6" s="176">
        <f>CU6</f>
        <v>35991664</v>
      </c>
      <c r="CX6" s="177">
        <f>CP6+CT6</f>
        <v>69718316</v>
      </c>
      <c r="CY6" s="189">
        <f aca="true" t="shared" si="3" ref="CY6:DA21">CQ6+CU6</f>
        <v>57990597</v>
      </c>
      <c r="CZ6" s="189">
        <f t="shared" si="3"/>
        <v>69718316</v>
      </c>
      <c r="DA6" s="191">
        <f t="shared" si="3"/>
        <v>57990597</v>
      </c>
    </row>
    <row r="7" spans="1:105" s="144" customFormat="1" ht="15" thickBot="1">
      <c r="A7" s="179" t="s">
        <v>32</v>
      </c>
      <c r="B7" s="185">
        <v>1568906</v>
      </c>
      <c r="C7" s="145">
        <v>1750343</v>
      </c>
      <c r="D7" s="145">
        <f aca="true" t="shared" si="4" ref="D7:D33">B7</f>
        <v>1568906</v>
      </c>
      <c r="E7" s="146">
        <f aca="true" t="shared" si="5" ref="E7:E33">C7</f>
        <v>1750343</v>
      </c>
      <c r="F7" s="186">
        <v>128587</v>
      </c>
      <c r="G7" s="148">
        <v>78</v>
      </c>
      <c r="H7" s="148">
        <f aca="true" t="shared" si="6" ref="H7:H33">F7</f>
        <v>128587</v>
      </c>
      <c r="I7" s="149">
        <f aca="true" t="shared" si="7" ref="I7:I33">G7</f>
        <v>78</v>
      </c>
      <c r="J7" s="187">
        <v>306259</v>
      </c>
      <c r="K7" s="152">
        <v>370328</v>
      </c>
      <c r="L7" s="152">
        <f aca="true" t="shared" si="8" ref="L7:L33">J7</f>
        <v>306259</v>
      </c>
      <c r="M7" s="153">
        <f aca="true" t="shared" si="9" ref="M7:M33">K7</f>
        <v>370328</v>
      </c>
      <c r="N7" s="187">
        <v>1912079</v>
      </c>
      <c r="O7" s="152">
        <v>2870611</v>
      </c>
      <c r="P7" s="152">
        <f aca="true" t="shared" si="10" ref="P7:P33">N7</f>
        <v>1912079</v>
      </c>
      <c r="Q7" s="153">
        <f aca="true" t="shared" si="11" ref="Q7:Q33">O7</f>
        <v>2870611</v>
      </c>
      <c r="R7" s="187">
        <v>75461</v>
      </c>
      <c r="S7" s="152">
        <v>71482</v>
      </c>
      <c r="T7" s="152">
        <f aca="true" t="shared" si="12" ref="T7:T33">R7</f>
        <v>75461</v>
      </c>
      <c r="U7" s="153">
        <f aca="true" t="shared" si="13" ref="U7:U33">S7</f>
        <v>71482</v>
      </c>
      <c r="V7" s="187">
        <v>34334</v>
      </c>
      <c r="W7" s="152">
        <v>577</v>
      </c>
      <c r="X7" s="152">
        <f aca="true" t="shared" si="14" ref="X7:X33">V7</f>
        <v>34334</v>
      </c>
      <c r="Y7" s="153">
        <f aca="true" t="shared" si="15" ref="Y7:Y33">W7</f>
        <v>577</v>
      </c>
      <c r="Z7" s="187">
        <v>12264</v>
      </c>
      <c r="AA7" s="152"/>
      <c r="AB7" s="187">
        <f aca="true" t="shared" si="16" ref="AB7:AB33">Z7</f>
        <v>12264</v>
      </c>
      <c r="AC7" s="1605">
        <f aca="true" t="shared" si="17" ref="AC7:AC33">AA7</f>
        <v>0</v>
      </c>
      <c r="AD7" s="186"/>
      <c r="AE7" s="148"/>
      <c r="AF7" s="148">
        <f aca="true" t="shared" si="18" ref="AF7:AF33">AD7</f>
        <v>0</v>
      </c>
      <c r="AG7" s="149">
        <f aca="true" t="shared" si="19" ref="AG7:AG33">AE7</f>
        <v>0</v>
      </c>
      <c r="AH7" s="147">
        <v>962096</v>
      </c>
      <c r="AI7" s="148">
        <v>977796</v>
      </c>
      <c r="AJ7" s="148">
        <f aca="true" t="shared" si="20" ref="AJ7:AJ33">AH7</f>
        <v>962096</v>
      </c>
      <c r="AK7" s="149">
        <f aca="true" t="shared" si="21" ref="AK7:AK33">AI7</f>
        <v>977796</v>
      </c>
      <c r="AL7" s="147">
        <v>76436</v>
      </c>
      <c r="AM7" s="148">
        <v>60582</v>
      </c>
      <c r="AN7" s="148">
        <f aca="true" t="shared" si="22" ref="AN7:AN33">AL7</f>
        <v>76436</v>
      </c>
      <c r="AO7" s="149">
        <f aca="true" t="shared" si="23" ref="AO7:AO33">AM7</f>
        <v>60582</v>
      </c>
      <c r="AP7" s="151">
        <v>6675571</v>
      </c>
      <c r="AQ7" s="152">
        <v>3135397</v>
      </c>
      <c r="AR7" s="152">
        <f aca="true" t="shared" si="24" ref="AR7:AR33">AP7</f>
        <v>6675571</v>
      </c>
      <c r="AS7" s="153">
        <f aca="true" t="shared" si="25" ref="AS7:AS33">AQ7</f>
        <v>3135397</v>
      </c>
      <c r="AT7" s="147">
        <v>3639195</v>
      </c>
      <c r="AU7" s="148">
        <v>4802545</v>
      </c>
      <c r="AV7" s="148">
        <f aca="true" t="shared" si="26" ref="AV7:AV33">AT7</f>
        <v>3639195</v>
      </c>
      <c r="AW7" s="149">
        <f aca="true" t="shared" si="27" ref="AW7:AW33">AU7</f>
        <v>4802545</v>
      </c>
      <c r="AX7" s="154">
        <v>235736</v>
      </c>
      <c r="AY7" s="155">
        <v>151493</v>
      </c>
      <c r="AZ7" s="155">
        <f aca="true" t="shared" si="28" ref="AZ7:AZ33">AX7</f>
        <v>235736</v>
      </c>
      <c r="BA7" s="156">
        <f aca="true" t="shared" si="29" ref="BA7:BA33">AY7</f>
        <v>151493</v>
      </c>
      <c r="BB7" s="147">
        <v>41857</v>
      </c>
      <c r="BC7" s="148">
        <v>35416</v>
      </c>
      <c r="BD7" s="148">
        <f aca="true" t="shared" si="30" ref="BD7:BD33">BB7</f>
        <v>41857</v>
      </c>
      <c r="BE7" s="149">
        <f aca="true" t="shared" si="31" ref="BE7:BE33">BC7</f>
        <v>35416</v>
      </c>
      <c r="BF7" s="147">
        <v>1943662</v>
      </c>
      <c r="BG7" s="148">
        <v>2196414</v>
      </c>
      <c r="BH7" s="148">
        <f aca="true" t="shared" si="32" ref="BH7:BH33">BF7</f>
        <v>1943662</v>
      </c>
      <c r="BI7" s="149">
        <f aca="true" t="shared" si="33" ref="BI7:BI33">BG7</f>
        <v>2196414</v>
      </c>
      <c r="BJ7" s="147">
        <v>3208985</v>
      </c>
      <c r="BK7" s="148">
        <v>3018027</v>
      </c>
      <c r="BL7" s="148">
        <f aca="true" t="shared" si="34" ref="BL7:BL33">BJ7</f>
        <v>3208985</v>
      </c>
      <c r="BM7" s="149">
        <f aca="true" t="shared" si="35" ref="BM7:BM33">BK7</f>
        <v>3018027</v>
      </c>
      <c r="BN7" s="147">
        <v>324792</v>
      </c>
      <c r="BO7" s="148">
        <v>184889</v>
      </c>
      <c r="BP7" s="148">
        <f aca="true" t="shared" si="36" ref="BP7:BP33">BN7</f>
        <v>324792</v>
      </c>
      <c r="BQ7" s="148">
        <f aca="true" t="shared" si="37" ref="BQ7:BQ33">BO7</f>
        <v>184889</v>
      </c>
      <c r="BR7" s="147">
        <v>1074603</v>
      </c>
      <c r="BS7" s="148">
        <v>1300021</v>
      </c>
      <c r="BT7" s="148">
        <f t="shared" si="0"/>
        <v>1074603</v>
      </c>
      <c r="BU7" s="149">
        <f t="shared" si="0"/>
        <v>1300021</v>
      </c>
      <c r="BV7" s="157"/>
      <c r="BW7" s="148"/>
      <c r="BX7" s="148"/>
      <c r="BY7" s="149"/>
      <c r="BZ7" s="331">
        <v>2504626</v>
      </c>
      <c r="CA7" s="325">
        <v>1696387</v>
      </c>
      <c r="CB7" s="329">
        <f t="shared" si="1"/>
        <v>2504626</v>
      </c>
      <c r="CC7" s="330">
        <f t="shared" si="1"/>
        <v>1696387</v>
      </c>
      <c r="CD7" s="323">
        <v>230853</v>
      </c>
      <c r="CE7" s="173">
        <v>59666</v>
      </c>
      <c r="CF7" s="173">
        <f aca="true" t="shared" si="38" ref="CF7:CF27">CD7</f>
        <v>230853</v>
      </c>
      <c r="CG7" s="1608">
        <f aca="true" t="shared" si="39" ref="CG7:CG27">CE7</f>
        <v>59666</v>
      </c>
      <c r="CH7" s="174">
        <v>160315</v>
      </c>
      <c r="CI7" s="175">
        <v>286504</v>
      </c>
      <c r="CJ7" s="175">
        <f aca="true" t="shared" si="40" ref="CJ7:CJ27">CH7</f>
        <v>160315</v>
      </c>
      <c r="CK7" s="176">
        <f aca="true" t="shared" si="41" ref="CK7:CK27">CI7</f>
        <v>286504</v>
      </c>
      <c r="CL7" s="151">
        <v>1133534</v>
      </c>
      <c r="CM7" s="152">
        <v>368998</v>
      </c>
      <c r="CN7" s="152">
        <f aca="true" t="shared" si="42" ref="CN7:CN28">CL7</f>
        <v>1133534</v>
      </c>
      <c r="CO7" s="153">
        <f aca="true" t="shared" si="43" ref="CO7:CO28">CM7</f>
        <v>368998</v>
      </c>
      <c r="CP7" s="177">
        <f>SUM(B7+F7+J7+N7+R7+V7+Z7+AD7+AH7+AL7+AP7+AT7+AX7+BB7+BF7+BJ7+BN7+BR7+BV7+BZ7+CD7+CH7+CL7)</f>
        <v>26250151</v>
      </c>
      <c r="CQ7" s="189">
        <f t="shared" si="2"/>
        <v>23337554</v>
      </c>
      <c r="CR7" s="189">
        <f t="shared" si="2"/>
        <v>26250151</v>
      </c>
      <c r="CS7" s="191">
        <f t="shared" si="2"/>
        <v>23337554</v>
      </c>
      <c r="CT7" s="174">
        <v>248632674</v>
      </c>
      <c r="CU7" s="175">
        <v>298949999</v>
      </c>
      <c r="CV7" s="175">
        <f aca="true" t="shared" si="44" ref="CV7:CV28">CT7</f>
        <v>248632674</v>
      </c>
      <c r="CW7" s="176">
        <f aca="true" t="shared" si="45" ref="CW7:CW28">CU7</f>
        <v>298949999</v>
      </c>
      <c r="CX7" s="177">
        <f>CP7+CT7</f>
        <v>274882825</v>
      </c>
      <c r="CY7" s="189">
        <f t="shared" si="3"/>
        <v>322287553</v>
      </c>
      <c r="CZ7" s="189">
        <f t="shared" si="3"/>
        <v>274882825</v>
      </c>
      <c r="DA7" s="191">
        <f t="shared" si="3"/>
        <v>322287553</v>
      </c>
    </row>
    <row r="8" spans="1:105" s="144" customFormat="1" ht="15" thickBot="1">
      <c r="A8" s="179" t="s">
        <v>33</v>
      </c>
      <c r="B8" s="185">
        <v>21931</v>
      </c>
      <c r="C8" s="145">
        <v>11008</v>
      </c>
      <c r="D8" s="145">
        <f t="shared" si="4"/>
        <v>21931</v>
      </c>
      <c r="E8" s="146">
        <f t="shared" si="5"/>
        <v>11008</v>
      </c>
      <c r="F8" s="186">
        <v>32</v>
      </c>
      <c r="G8" s="148">
        <v>32</v>
      </c>
      <c r="H8" s="148">
        <f t="shared" si="6"/>
        <v>32</v>
      </c>
      <c r="I8" s="149">
        <f t="shared" si="7"/>
        <v>32</v>
      </c>
      <c r="J8" s="187">
        <v>312591</v>
      </c>
      <c r="K8" s="152">
        <v>70791</v>
      </c>
      <c r="L8" s="152">
        <f t="shared" si="8"/>
        <v>312591</v>
      </c>
      <c r="M8" s="153">
        <f t="shared" si="9"/>
        <v>70791</v>
      </c>
      <c r="N8" s="187">
        <v>40858</v>
      </c>
      <c r="O8" s="152">
        <v>39559</v>
      </c>
      <c r="P8" s="152">
        <f t="shared" si="10"/>
        <v>40858</v>
      </c>
      <c r="Q8" s="153">
        <f t="shared" si="11"/>
        <v>39559</v>
      </c>
      <c r="R8" s="187"/>
      <c r="S8" s="152"/>
      <c r="T8" s="152">
        <f t="shared" si="12"/>
        <v>0</v>
      </c>
      <c r="U8" s="153">
        <f t="shared" si="13"/>
        <v>0</v>
      </c>
      <c r="V8" s="187">
        <v>13046</v>
      </c>
      <c r="W8" s="152">
        <v>7483</v>
      </c>
      <c r="X8" s="152">
        <f t="shared" si="14"/>
        <v>13046</v>
      </c>
      <c r="Y8" s="153">
        <f t="shared" si="15"/>
        <v>7483</v>
      </c>
      <c r="Z8" s="187"/>
      <c r="AA8" s="152"/>
      <c r="AB8" s="187">
        <f t="shared" si="16"/>
        <v>0</v>
      </c>
      <c r="AC8" s="1605">
        <f t="shared" si="17"/>
        <v>0</v>
      </c>
      <c r="AD8" s="186">
        <v>3815</v>
      </c>
      <c r="AE8" s="148">
        <v>2717</v>
      </c>
      <c r="AF8" s="148">
        <f t="shared" si="18"/>
        <v>3815</v>
      </c>
      <c r="AG8" s="149">
        <f t="shared" si="19"/>
        <v>2717</v>
      </c>
      <c r="AH8" s="147">
        <v>9718</v>
      </c>
      <c r="AI8" s="148">
        <v>6824</v>
      </c>
      <c r="AJ8" s="148">
        <f t="shared" si="20"/>
        <v>9718</v>
      </c>
      <c r="AK8" s="149">
        <f t="shared" si="21"/>
        <v>6824</v>
      </c>
      <c r="AL8" s="147">
        <v>961</v>
      </c>
      <c r="AM8" s="148">
        <v>715</v>
      </c>
      <c r="AN8" s="148">
        <f t="shared" si="22"/>
        <v>961</v>
      </c>
      <c r="AO8" s="149">
        <f t="shared" si="23"/>
        <v>715</v>
      </c>
      <c r="AP8" s="151">
        <v>566254</v>
      </c>
      <c r="AQ8" s="152">
        <v>280672</v>
      </c>
      <c r="AR8" s="152">
        <f t="shared" si="24"/>
        <v>566254</v>
      </c>
      <c r="AS8" s="153">
        <f t="shared" si="25"/>
        <v>280672</v>
      </c>
      <c r="AT8" s="147">
        <v>507958</v>
      </c>
      <c r="AU8" s="148">
        <v>407694</v>
      </c>
      <c r="AV8" s="148">
        <f t="shared" si="26"/>
        <v>507958</v>
      </c>
      <c r="AW8" s="149">
        <f t="shared" si="27"/>
        <v>407694</v>
      </c>
      <c r="AX8" s="154"/>
      <c r="AY8" s="155"/>
      <c r="AZ8" s="155">
        <f t="shared" si="28"/>
        <v>0</v>
      </c>
      <c r="BA8" s="156">
        <f t="shared" si="29"/>
        <v>0</v>
      </c>
      <c r="BB8" s="147">
        <v>217</v>
      </c>
      <c r="BC8" s="148">
        <v>44</v>
      </c>
      <c r="BD8" s="148">
        <f t="shared" si="30"/>
        <v>217</v>
      </c>
      <c r="BE8" s="149">
        <f t="shared" si="31"/>
        <v>44</v>
      </c>
      <c r="BF8" s="147">
        <v>19969</v>
      </c>
      <c r="BG8" s="148">
        <v>10930</v>
      </c>
      <c r="BH8" s="148">
        <f t="shared" si="32"/>
        <v>19969</v>
      </c>
      <c r="BI8" s="149">
        <f t="shared" si="33"/>
        <v>10930</v>
      </c>
      <c r="BJ8" s="147">
        <v>19342</v>
      </c>
      <c r="BK8" s="148">
        <v>15049</v>
      </c>
      <c r="BL8" s="148">
        <f t="shared" si="34"/>
        <v>19342</v>
      </c>
      <c r="BM8" s="149">
        <f t="shared" si="35"/>
        <v>15049</v>
      </c>
      <c r="BN8" s="147">
        <v>34950</v>
      </c>
      <c r="BO8" s="148">
        <v>76344</v>
      </c>
      <c r="BP8" s="148">
        <f t="shared" si="36"/>
        <v>34950</v>
      </c>
      <c r="BQ8" s="148">
        <f t="shared" si="37"/>
        <v>76344</v>
      </c>
      <c r="BR8" s="147">
        <v>9632</v>
      </c>
      <c r="BS8" s="148">
        <v>5813</v>
      </c>
      <c r="BT8" s="148">
        <f t="shared" si="0"/>
        <v>9632</v>
      </c>
      <c r="BU8" s="149">
        <f t="shared" si="0"/>
        <v>5813</v>
      </c>
      <c r="BV8" s="157"/>
      <c r="BW8" s="148"/>
      <c r="BX8" s="148"/>
      <c r="BY8" s="149"/>
      <c r="BZ8" s="331">
        <v>490558</v>
      </c>
      <c r="CA8" s="325">
        <v>424412</v>
      </c>
      <c r="CB8" s="329">
        <f t="shared" si="1"/>
        <v>490558</v>
      </c>
      <c r="CC8" s="330">
        <f t="shared" si="1"/>
        <v>424412</v>
      </c>
      <c r="CD8" s="323">
        <v>675</v>
      </c>
      <c r="CE8" s="173">
        <v>811</v>
      </c>
      <c r="CF8" s="173">
        <f t="shared" si="38"/>
        <v>675</v>
      </c>
      <c r="CG8" s="1608">
        <f t="shared" si="39"/>
        <v>811</v>
      </c>
      <c r="CH8" s="174">
        <v>23125</v>
      </c>
      <c r="CI8" s="175">
        <v>22956</v>
      </c>
      <c r="CJ8" s="175">
        <f t="shared" si="40"/>
        <v>23125</v>
      </c>
      <c r="CK8" s="176">
        <f t="shared" si="41"/>
        <v>22956</v>
      </c>
      <c r="CL8" s="151">
        <v>8311</v>
      </c>
      <c r="CM8" s="152">
        <v>4198</v>
      </c>
      <c r="CN8" s="152">
        <f t="shared" si="42"/>
        <v>8311</v>
      </c>
      <c r="CO8" s="153">
        <f t="shared" si="43"/>
        <v>4198</v>
      </c>
      <c r="CP8" s="177">
        <f>SUM(B8+F8+J8+N8+R8+V8+Z8+AD8+AH8+AL8+AP8+AT8+AX8+BB8+BF8+BJ8+BN8+BR8+BV8+BZ8+CD8+CH8+CL8)</f>
        <v>2083943</v>
      </c>
      <c r="CQ8" s="189">
        <f t="shared" si="2"/>
        <v>1388052</v>
      </c>
      <c r="CR8" s="189">
        <f t="shared" si="2"/>
        <v>2083943</v>
      </c>
      <c r="CS8" s="191">
        <f t="shared" si="2"/>
        <v>1388052</v>
      </c>
      <c r="CT8" s="174">
        <v>29534567</v>
      </c>
      <c r="CU8" s="175">
        <v>24310619</v>
      </c>
      <c r="CV8" s="175">
        <f t="shared" si="44"/>
        <v>29534567</v>
      </c>
      <c r="CW8" s="176">
        <f t="shared" si="45"/>
        <v>24310619</v>
      </c>
      <c r="CX8" s="177">
        <f>CP8+CT8</f>
        <v>31618510</v>
      </c>
      <c r="CY8" s="189">
        <f t="shared" si="3"/>
        <v>25698671</v>
      </c>
      <c r="CZ8" s="189">
        <f t="shared" si="3"/>
        <v>31618510</v>
      </c>
      <c r="DA8" s="191">
        <f t="shared" si="3"/>
        <v>25698671</v>
      </c>
    </row>
    <row r="9" spans="1:105" s="144" customFormat="1" ht="15" thickBot="1">
      <c r="A9" s="179" t="s">
        <v>34</v>
      </c>
      <c r="B9" s="185"/>
      <c r="C9" s="145"/>
      <c r="D9" s="145">
        <f t="shared" si="4"/>
        <v>0</v>
      </c>
      <c r="E9" s="146">
        <f t="shared" si="5"/>
        <v>0</v>
      </c>
      <c r="F9" s="186"/>
      <c r="G9" s="148"/>
      <c r="H9" s="148">
        <f t="shared" si="6"/>
        <v>0</v>
      </c>
      <c r="I9" s="149">
        <f t="shared" si="7"/>
        <v>0</v>
      </c>
      <c r="J9" s="187"/>
      <c r="K9" s="152"/>
      <c r="L9" s="152">
        <f t="shared" si="8"/>
        <v>0</v>
      </c>
      <c r="M9" s="153">
        <f t="shared" si="9"/>
        <v>0</v>
      </c>
      <c r="N9" s="187"/>
      <c r="O9" s="152"/>
      <c r="P9" s="152">
        <f t="shared" si="10"/>
        <v>0</v>
      </c>
      <c r="Q9" s="153">
        <f t="shared" si="11"/>
        <v>0</v>
      </c>
      <c r="R9" s="187"/>
      <c r="S9" s="152"/>
      <c r="T9" s="152">
        <f t="shared" si="12"/>
        <v>0</v>
      </c>
      <c r="U9" s="153">
        <f t="shared" si="13"/>
        <v>0</v>
      </c>
      <c r="V9" s="187"/>
      <c r="W9" s="152"/>
      <c r="X9" s="152">
        <f t="shared" si="14"/>
        <v>0</v>
      </c>
      <c r="Y9" s="153">
        <f t="shared" si="15"/>
        <v>0</v>
      </c>
      <c r="Z9" s="187"/>
      <c r="AA9" s="152"/>
      <c r="AB9" s="187">
        <f t="shared" si="16"/>
        <v>0</v>
      </c>
      <c r="AC9" s="1605">
        <f t="shared" si="17"/>
        <v>0</v>
      </c>
      <c r="AD9" s="186"/>
      <c r="AE9" s="148"/>
      <c r="AF9" s="148">
        <f t="shared" si="18"/>
        <v>0</v>
      </c>
      <c r="AG9" s="149">
        <f t="shared" si="19"/>
        <v>0</v>
      </c>
      <c r="AH9" s="147"/>
      <c r="AI9" s="148"/>
      <c r="AJ9" s="148">
        <f t="shared" si="20"/>
        <v>0</v>
      </c>
      <c r="AK9" s="149">
        <f t="shared" si="21"/>
        <v>0</v>
      </c>
      <c r="AL9" s="147"/>
      <c r="AM9" s="148"/>
      <c r="AN9" s="148">
        <f t="shared" si="22"/>
        <v>0</v>
      </c>
      <c r="AO9" s="149">
        <f t="shared" si="23"/>
        <v>0</v>
      </c>
      <c r="AP9" s="151"/>
      <c r="AQ9" s="168"/>
      <c r="AR9" s="152">
        <f t="shared" si="24"/>
        <v>0</v>
      </c>
      <c r="AS9" s="153">
        <f t="shared" si="25"/>
        <v>0</v>
      </c>
      <c r="AT9" s="147"/>
      <c r="AU9" s="148"/>
      <c r="AV9" s="148">
        <f t="shared" si="26"/>
        <v>0</v>
      </c>
      <c r="AW9" s="149">
        <f t="shared" si="27"/>
        <v>0</v>
      </c>
      <c r="AX9" s="154"/>
      <c r="AY9" s="155"/>
      <c r="AZ9" s="155">
        <f t="shared" si="28"/>
        <v>0</v>
      </c>
      <c r="BA9" s="156">
        <f t="shared" si="29"/>
        <v>0</v>
      </c>
      <c r="BB9" s="147"/>
      <c r="BC9" s="148"/>
      <c r="BD9" s="148">
        <f t="shared" si="30"/>
        <v>0</v>
      </c>
      <c r="BE9" s="149">
        <f t="shared" si="31"/>
        <v>0</v>
      </c>
      <c r="BF9" s="147"/>
      <c r="BG9" s="148"/>
      <c r="BH9" s="148">
        <f t="shared" si="32"/>
        <v>0</v>
      </c>
      <c r="BI9" s="149">
        <f t="shared" si="33"/>
        <v>0</v>
      </c>
      <c r="BJ9" s="147"/>
      <c r="BK9" s="148"/>
      <c r="BL9" s="148">
        <f t="shared" si="34"/>
        <v>0</v>
      </c>
      <c r="BM9" s="149">
        <f t="shared" si="35"/>
        <v>0</v>
      </c>
      <c r="BN9" s="147"/>
      <c r="BO9" s="148"/>
      <c r="BP9" s="148">
        <f t="shared" si="36"/>
        <v>0</v>
      </c>
      <c r="BQ9" s="148">
        <f t="shared" si="37"/>
        <v>0</v>
      </c>
      <c r="BR9" s="147"/>
      <c r="BS9" s="148"/>
      <c r="BT9" s="148">
        <f t="shared" si="0"/>
        <v>0</v>
      </c>
      <c r="BU9" s="149">
        <f t="shared" si="0"/>
        <v>0</v>
      </c>
      <c r="BV9" s="157"/>
      <c r="BW9" s="148"/>
      <c r="BX9" s="148"/>
      <c r="BY9" s="149"/>
      <c r="BZ9" s="151"/>
      <c r="CA9" s="152"/>
      <c r="CB9" s="329">
        <f t="shared" si="1"/>
        <v>0</v>
      </c>
      <c r="CC9" s="330">
        <f t="shared" si="1"/>
        <v>0</v>
      </c>
      <c r="CD9" s="323"/>
      <c r="CE9" s="173"/>
      <c r="CF9" s="173">
        <f t="shared" si="38"/>
        <v>0</v>
      </c>
      <c r="CG9" s="1608">
        <f t="shared" si="39"/>
        <v>0</v>
      </c>
      <c r="CH9" s="174"/>
      <c r="CI9" s="175"/>
      <c r="CJ9" s="175">
        <f t="shared" si="40"/>
        <v>0</v>
      </c>
      <c r="CK9" s="176">
        <f t="shared" si="41"/>
        <v>0</v>
      </c>
      <c r="CL9" s="151"/>
      <c r="CM9" s="152"/>
      <c r="CN9" s="152">
        <f t="shared" si="42"/>
        <v>0</v>
      </c>
      <c r="CO9" s="153">
        <f t="shared" si="43"/>
        <v>0</v>
      </c>
      <c r="CP9" s="177"/>
      <c r="CQ9" s="189"/>
      <c r="CR9" s="189"/>
      <c r="CS9" s="191"/>
      <c r="CT9" s="174"/>
      <c r="CU9" s="175"/>
      <c r="CV9" s="175">
        <f t="shared" si="44"/>
        <v>0</v>
      </c>
      <c r="CW9" s="176">
        <f t="shared" si="45"/>
        <v>0</v>
      </c>
      <c r="CX9" s="177"/>
      <c r="CY9" s="189"/>
      <c r="CZ9" s="189"/>
      <c r="DA9" s="191"/>
    </row>
    <row r="10" spans="1:105" s="144" customFormat="1" ht="15" thickBot="1">
      <c r="A10" s="179" t="s">
        <v>35</v>
      </c>
      <c r="B10" s="194">
        <v>169869</v>
      </c>
      <c r="C10" s="195">
        <v>136819</v>
      </c>
      <c r="D10" s="145">
        <f t="shared" si="4"/>
        <v>169869</v>
      </c>
      <c r="E10" s="146">
        <f t="shared" si="5"/>
        <v>136819</v>
      </c>
      <c r="F10" s="196">
        <v>77637</v>
      </c>
      <c r="G10" s="164">
        <v>40049</v>
      </c>
      <c r="H10" s="148">
        <f t="shared" si="6"/>
        <v>77637</v>
      </c>
      <c r="I10" s="149">
        <f t="shared" si="7"/>
        <v>40049</v>
      </c>
      <c r="J10" s="189">
        <v>54736</v>
      </c>
      <c r="K10" s="181">
        <v>84503</v>
      </c>
      <c r="L10" s="152">
        <f t="shared" si="8"/>
        <v>54736</v>
      </c>
      <c r="M10" s="153">
        <f t="shared" si="9"/>
        <v>84503</v>
      </c>
      <c r="N10" s="189">
        <v>348128</v>
      </c>
      <c r="O10" s="181">
        <v>452405</v>
      </c>
      <c r="P10" s="152">
        <f t="shared" si="10"/>
        <v>348128</v>
      </c>
      <c r="Q10" s="153">
        <f t="shared" si="11"/>
        <v>452405</v>
      </c>
      <c r="R10" s="189">
        <v>52271</v>
      </c>
      <c r="S10" s="181">
        <v>27229</v>
      </c>
      <c r="T10" s="152">
        <f t="shared" si="12"/>
        <v>52271</v>
      </c>
      <c r="U10" s="153">
        <f t="shared" si="13"/>
        <v>27229</v>
      </c>
      <c r="V10" s="189">
        <v>44071</v>
      </c>
      <c r="W10" s="181">
        <v>64711</v>
      </c>
      <c r="X10" s="152">
        <f t="shared" si="14"/>
        <v>44071</v>
      </c>
      <c r="Y10" s="153">
        <f t="shared" si="15"/>
        <v>64711</v>
      </c>
      <c r="Z10" s="189">
        <v>7403</v>
      </c>
      <c r="AA10" s="181">
        <v>8239</v>
      </c>
      <c r="AB10" s="187">
        <f t="shared" si="16"/>
        <v>7403</v>
      </c>
      <c r="AC10" s="1605">
        <f t="shared" si="17"/>
        <v>8239</v>
      </c>
      <c r="AD10" s="196">
        <v>8192</v>
      </c>
      <c r="AE10" s="164">
        <v>11467</v>
      </c>
      <c r="AF10" s="148">
        <f t="shared" si="18"/>
        <v>8192</v>
      </c>
      <c r="AG10" s="149">
        <f t="shared" si="19"/>
        <v>11467</v>
      </c>
      <c r="AH10" s="160"/>
      <c r="AI10" s="164"/>
      <c r="AJ10" s="148">
        <f t="shared" si="20"/>
        <v>0</v>
      </c>
      <c r="AK10" s="149">
        <f t="shared" si="21"/>
        <v>0</v>
      </c>
      <c r="AL10" s="160">
        <v>25464</v>
      </c>
      <c r="AM10" s="164">
        <v>16177</v>
      </c>
      <c r="AN10" s="148">
        <f t="shared" si="22"/>
        <v>25464</v>
      </c>
      <c r="AO10" s="149">
        <f t="shared" si="23"/>
        <v>16177</v>
      </c>
      <c r="AP10" s="151">
        <v>69891</v>
      </c>
      <c r="AQ10" s="181">
        <v>27254</v>
      </c>
      <c r="AR10" s="152">
        <f t="shared" si="24"/>
        <v>69891</v>
      </c>
      <c r="AS10" s="153">
        <f t="shared" si="25"/>
        <v>27254</v>
      </c>
      <c r="AT10" s="160">
        <v>511565</v>
      </c>
      <c r="AU10" s="164">
        <v>447395</v>
      </c>
      <c r="AV10" s="148">
        <f t="shared" si="26"/>
        <v>511565</v>
      </c>
      <c r="AW10" s="149">
        <f t="shared" si="27"/>
        <v>447395</v>
      </c>
      <c r="AX10" s="154">
        <v>199588</v>
      </c>
      <c r="AY10" s="155">
        <v>137825</v>
      </c>
      <c r="AZ10" s="155">
        <f t="shared" si="28"/>
        <v>199588</v>
      </c>
      <c r="BA10" s="156">
        <f t="shared" si="29"/>
        <v>137825</v>
      </c>
      <c r="BB10" s="160">
        <v>45913</v>
      </c>
      <c r="BC10" s="164">
        <v>13996</v>
      </c>
      <c r="BD10" s="148">
        <f t="shared" si="30"/>
        <v>45913</v>
      </c>
      <c r="BE10" s="149">
        <f t="shared" si="31"/>
        <v>13996</v>
      </c>
      <c r="BF10" s="197">
        <v>120035</v>
      </c>
      <c r="BG10" s="198">
        <v>85294</v>
      </c>
      <c r="BH10" s="148">
        <f t="shared" si="32"/>
        <v>120035</v>
      </c>
      <c r="BI10" s="149">
        <f t="shared" si="33"/>
        <v>85294</v>
      </c>
      <c r="BJ10" s="160">
        <v>275443</v>
      </c>
      <c r="BK10" s="164">
        <v>159615</v>
      </c>
      <c r="BL10" s="148">
        <f t="shared" si="34"/>
        <v>275443</v>
      </c>
      <c r="BM10" s="149">
        <f t="shared" si="35"/>
        <v>159615</v>
      </c>
      <c r="BN10" s="160">
        <v>565050</v>
      </c>
      <c r="BO10" s="164">
        <v>369368</v>
      </c>
      <c r="BP10" s="148">
        <f t="shared" si="36"/>
        <v>565050</v>
      </c>
      <c r="BQ10" s="148">
        <f t="shared" si="37"/>
        <v>369368</v>
      </c>
      <c r="BR10" s="160">
        <v>972911</v>
      </c>
      <c r="BS10" s="164">
        <v>986719</v>
      </c>
      <c r="BT10" s="148">
        <f aca="true" t="shared" si="46" ref="BT10:BT25">BR10</f>
        <v>972911</v>
      </c>
      <c r="BU10" s="149">
        <f aca="true" t="shared" si="47" ref="BU10:BU25">BS10</f>
        <v>986719</v>
      </c>
      <c r="BV10" s="157"/>
      <c r="BW10" s="148"/>
      <c r="BX10" s="148"/>
      <c r="BY10" s="149"/>
      <c r="BZ10" s="331">
        <v>1277037</v>
      </c>
      <c r="CA10" s="325">
        <v>1108904</v>
      </c>
      <c r="CB10" s="329">
        <f aca="true" t="shared" si="48" ref="CB10:CB27">BZ10</f>
        <v>1277037</v>
      </c>
      <c r="CC10" s="330">
        <f aca="true" t="shared" si="49" ref="CC10:CC27">CA10</f>
        <v>1108904</v>
      </c>
      <c r="CD10" s="323">
        <v>66156</v>
      </c>
      <c r="CE10" s="173">
        <v>151381</v>
      </c>
      <c r="CF10" s="173">
        <f t="shared" si="38"/>
        <v>66156</v>
      </c>
      <c r="CG10" s="1608">
        <f t="shared" si="39"/>
        <v>151381</v>
      </c>
      <c r="CH10" s="174">
        <v>89157</v>
      </c>
      <c r="CI10" s="175"/>
      <c r="CJ10" s="175">
        <f t="shared" si="40"/>
        <v>89157</v>
      </c>
      <c r="CK10" s="176">
        <f t="shared" si="41"/>
        <v>0</v>
      </c>
      <c r="CL10" s="177">
        <f>526341+479792</f>
        <v>1006133</v>
      </c>
      <c r="CM10" s="181">
        <f>480617+385821</f>
        <v>866438</v>
      </c>
      <c r="CN10" s="152">
        <f t="shared" si="42"/>
        <v>1006133</v>
      </c>
      <c r="CO10" s="153">
        <f t="shared" si="43"/>
        <v>866438</v>
      </c>
      <c r="CP10" s="177">
        <f aca="true" t="shared" si="50" ref="CP10:CP15">SUM(B10+F10+J10+N10+R10+V10+Z10+AD10+AH10+AL10+AP10+AT10+AX10+BB10+BF10+BJ10+BN10+BR10+BV10+BZ10+CD10+CH10+CL10)</f>
        <v>5986650</v>
      </c>
      <c r="CQ10" s="189">
        <f t="shared" si="2"/>
        <v>5195788</v>
      </c>
      <c r="CR10" s="189">
        <f t="shared" si="2"/>
        <v>5986650</v>
      </c>
      <c r="CS10" s="191">
        <f t="shared" si="2"/>
        <v>5195788</v>
      </c>
      <c r="CT10" s="177"/>
      <c r="CU10" s="181"/>
      <c r="CV10" s="175">
        <f t="shared" si="44"/>
        <v>0</v>
      </c>
      <c r="CW10" s="176">
        <f t="shared" si="45"/>
        <v>0</v>
      </c>
      <c r="CX10" s="177">
        <f aca="true" t="shared" si="51" ref="CX10:CX22">CP10+CT10</f>
        <v>5986650</v>
      </c>
      <c r="CY10" s="189">
        <f t="shared" si="3"/>
        <v>5195788</v>
      </c>
      <c r="CZ10" s="189">
        <f t="shared" si="3"/>
        <v>5986650</v>
      </c>
      <c r="DA10" s="191">
        <f t="shared" si="3"/>
        <v>5195788</v>
      </c>
    </row>
    <row r="11" spans="1:111" s="144" customFormat="1" ht="15" thickBot="1">
      <c r="A11" s="179" t="s">
        <v>36</v>
      </c>
      <c r="B11" s="185">
        <v>11283450</v>
      </c>
      <c r="C11" s="145">
        <v>9170646</v>
      </c>
      <c r="D11" s="145">
        <f t="shared" si="4"/>
        <v>11283450</v>
      </c>
      <c r="E11" s="146">
        <f t="shared" si="5"/>
        <v>9170646</v>
      </c>
      <c r="F11" s="186">
        <v>367717</v>
      </c>
      <c r="G11" s="148">
        <v>603872</v>
      </c>
      <c r="H11" s="148">
        <f t="shared" si="6"/>
        <v>367717</v>
      </c>
      <c r="I11" s="149">
        <f t="shared" si="7"/>
        <v>603872</v>
      </c>
      <c r="J11" s="187">
        <v>1619997</v>
      </c>
      <c r="K11" s="152">
        <v>1817597</v>
      </c>
      <c r="L11" s="152">
        <f t="shared" si="8"/>
        <v>1619997</v>
      </c>
      <c r="M11" s="153">
        <f t="shared" si="9"/>
        <v>1817597</v>
      </c>
      <c r="N11" s="187">
        <v>7475406</v>
      </c>
      <c r="O11" s="152">
        <v>5694125</v>
      </c>
      <c r="P11" s="152">
        <f t="shared" si="10"/>
        <v>7475406</v>
      </c>
      <c r="Q11" s="153">
        <f t="shared" si="11"/>
        <v>5694125</v>
      </c>
      <c r="R11" s="187">
        <v>569616</v>
      </c>
      <c r="S11" s="152">
        <v>819161</v>
      </c>
      <c r="T11" s="152">
        <f t="shared" si="12"/>
        <v>569616</v>
      </c>
      <c r="U11" s="153">
        <f t="shared" si="13"/>
        <v>819161</v>
      </c>
      <c r="V11" s="187">
        <v>2247360</v>
      </c>
      <c r="W11" s="152">
        <v>2539623</v>
      </c>
      <c r="X11" s="152">
        <f t="shared" si="14"/>
        <v>2247360</v>
      </c>
      <c r="Y11" s="153">
        <f t="shared" si="15"/>
        <v>2539623</v>
      </c>
      <c r="Z11" s="187">
        <v>340640</v>
      </c>
      <c r="AA11" s="152">
        <v>303555</v>
      </c>
      <c r="AB11" s="187">
        <f t="shared" si="16"/>
        <v>340640</v>
      </c>
      <c r="AC11" s="1605">
        <f t="shared" si="17"/>
        <v>303555</v>
      </c>
      <c r="AD11" s="186">
        <v>39015</v>
      </c>
      <c r="AE11" s="148">
        <v>31955</v>
      </c>
      <c r="AF11" s="148">
        <f t="shared" si="18"/>
        <v>39015</v>
      </c>
      <c r="AG11" s="149">
        <f t="shared" si="19"/>
        <v>31955</v>
      </c>
      <c r="AH11" s="147">
        <v>1586876</v>
      </c>
      <c r="AI11" s="148">
        <v>1476583</v>
      </c>
      <c r="AJ11" s="148">
        <f t="shared" si="20"/>
        <v>1586876</v>
      </c>
      <c r="AK11" s="149">
        <f t="shared" si="21"/>
        <v>1476583</v>
      </c>
      <c r="AL11" s="147">
        <v>450663</v>
      </c>
      <c r="AM11" s="148">
        <v>409556</v>
      </c>
      <c r="AN11" s="148">
        <f t="shared" si="22"/>
        <v>450663</v>
      </c>
      <c r="AO11" s="149">
        <f t="shared" si="23"/>
        <v>409556</v>
      </c>
      <c r="AP11" s="151">
        <v>15025781</v>
      </c>
      <c r="AQ11" s="152">
        <v>15122057</v>
      </c>
      <c r="AR11" s="152">
        <f t="shared" si="24"/>
        <v>15025781</v>
      </c>
      <c r="AS11" s="153">
        <f t="shared" si="25"/>
        <v>15122057</v>
      </c>
      <c r="AT11" s="147">
        <v>28487041</v>
      </c>
      <c r="AU11" s="148">
        <v>21461633</v>
      </c>
      <c r="AV11" s="148">
        <f t="shared" si="26"/>
        <v>28487041</v>
      </c>
      <c r="AW11" s="149">
        <f t="shared" si="27"/>
        <v>21461633</v>
      </c>
      <c r="AX11" s="147">
        <v>409866</v>
      </c>
      <c r="AY11" s="148">
        <v>472884</v>
      </c>
      <c r="AZ11" s="155">
        <f t="shared" si="28"/>
        <v>409866</v>
      </c>
      <c r="BA11" s="156">
        <f t="shared" si="29"/>
        <v>472884</v>
      </c>
      <c r="BB11" s="147">
        <v>9735546</v>
      </c>
      <c r="BC11" s="148">
        <v>2352465</v>
      </c>
      <c r="BD11" s="148">
        <f t="shared" si="30"/>
        <v>9735546</v>
      </c>
      <c r="BE11" s="149">
        <f t="shared" si="31"/>
        <v>2352465</v>
      </c>
      <c r="BF11" s="147">
        <v>2742871</v>
      </c>
      <c r="BG11" s="148">
        <v>2881012</v>
      </c>
      <c r="BH11" s="148">
        <f t="shared" si="32"/>
        <v>2742871</v>
      </c>
      <c r="BI11" s="149">
        <f t="shared" si="33"/>
        <v>2881012</v>
      </c>
      <c r="BJ11" s="147">
        <v>9013783</v>
      </c>
      <c r="BK11" s="148">
        <v>5620408</v>
      </c>
      <c r="BL11" s="148">
        <f t="shared" si="34"/>
        <v>9013783</v>
      </c>
      <c r="BM11" s="149">
        <f t="shared" si="35"/>
        <v>5620408</v>
      </c>
      <c r="BN11" s="147">
        <v>3781704</v>
      </c>
      <c r="BO11" s="148">
        <v>3323308</v>
      </c>
      <c r="BP11" s="148">
        <f t="shared" si="36"/>
        <v>3781704</v>
      </c>
      <c r="BQ11" s="148">
        <f t="shared" si="37"/>
        <v>3323308</v>
      </c>
      <c r="BR11" s="147">
        <v>3978821</v>
      </c>
      <c r="BS11" s="148">
        <v>3860902</v>
      </c>
      <c r="BT11" s="148">
        <f t="shared" si="46"/>
        <v>3978821</v>
      </c>
      <c r="BU11" s="149">
        <f t="shared" si="47"/>
        <v>3860902</v>
      </c>
      <c r="BV11" s="157"/>
      <c r="BW11" s="148"/>
      <c r="BX11" s="148"/>
      <c r="BY11" s="149"/>
      <c r="BZ11" s="331">
        <v>8758720</v>
      </c>
      <c r="CA11" s="325">
        <v>9211813</v>
      </c>
      <c r="CB11" s="329">
        <f t="shared" si="48"/>
        <v>8758720</v>
      </c>
      <c r="CC11" s="330">
        <f t="shared" si="49"/>
        <v>9211813</v>
      </c>
      <c r="CD11" s="323">
        <v>320819</v>
      </c>
      <c r="CE11" s="173">
        <v>434092</v>
      </c>
      <c r="CF11" s="173">
        <f t="shared" si="38"/>
        <v>320819</v>
      </c>
      <c r="CG11" s="1608">
        <f t="shared" si="39"/>
        <v>434092</v>
      </c>
      <c r="CH11" s="174">
        <v>1184496</v>
      </c>
      <c r="CI11" s="175">
        <v>1112502</v>
      </c>
      <c r="CJ11" s="175">
        <f t="shared" si="40"/>
        <v>1184496</v>
      </c>
      <c r="CK11" s="176">
        <f t="shared" si="41"/>
        <v>1112502</v>
      </c>
      <c r="CL11" s="151">
        <v>2126121</v>
      </c>
      <c r="CM11" s="152">
        <v>2227283</v>
      </c>
      <c r="CN11" s="152">
        <f t="shared" si="42"/>
        <v>2126121</v>
      </c>
      <c r="CO11" s="153">
        <f t="shared" si="43"/>
        <v>2227283</v>
      </c>
      <c r="CP11" s="177">
        <f t="shared" si="50"/>
        <v>111546309</v>
      </c>
      <c r="CQ11" s="189">
        <f t="shared" si="2"/>
        <v>90947032</v>
      </c>
      <c r="CR11" s="189">
        <f t="shared" si="2"/>
        <v>111546309</v>
      </c>
      <c r="CS11" s="191">
        <f t="shared" si="2"/>
        <v>90947032</v>
      </c>
      <c r="CT11" s="174">
        <v>149049794</v>
      </c>
      <c r="CU11" s="175">
        <v>153620824</v>
      </c>
      <c r="CV11" s="175">
        <f t="shared" si="44"/>
        <v>149049794</v>
      </c>
      <c r="CW11" s="176">
        <f t="shared" si="45"/>
        <v>153620824</v>
      </c>
      <c r="CX11" s="177">
        <f t="shared" si="51"/>
        <v>260596103</v>
      </c>
      <c r="CY11" s="189">
        <f t="shared" si="3"/>
        <v>244567856</v>
      </c>
      <c r="CZ11" s="189">
        <f t="shared" si="3"/>
        <v>260596103</v>
      </c>
      <c r="DA11" s="191">
        <f t="shared" si="3"/>
        <v>244567856</v>
      </c>
      <c r="DF11" s="232"/>
      <c r="DG11" s="232"/>
    </row>
    <row r="12" spans="1:105" s="144" customFormat="1" ht="15" thickBot="1">
      <c r="A12" s="179" t="s">
        <v>37</v>
      </c>
      <c r="B12" s="185"/>
      <c r="C12" s="145"/>
      <c r="D12" s="145">
        <f t="shared" si="4"/>
        <v>0</v>
      </c>
      <c r="E12" s="146">
        <f t="shared" si="5"/>
        <v>0</v>
      </c>
      <c r="F12" s="186"/>
      <c r="G12" s="148"/>
      <c r="H12" s="148">
        <f t="shared" si="6"/>
        <v>0</v>
      </c>
      <c r="I12" s="149">
        <f t="shared" si="7"/>
        <v>0</v>
      </c>
      <c r="J12" s="187"/>
      <c r="K12" s="152"/>
      <c r="L12" s="152">
        <f t="shared" si="8"/>
        <v>0</v>
      </c>
      <c r="M12" s="153">
        <f t="shared" si="9"/>
        <v>0</v>
      </c>
      <c r="N12" s="187"/>
      <c r="O12" s="152"/>
      <c r="P12" s="152">
        <f t="shared" si="10"/>
        <v>0</v>
      </c>
      <c r="Q12" s="153">
        <f t="shared" si="11"/>
        <v>0</v>
      </c>
      <c r="R12" s="187"/>
      <c r="S12" s="152"/>
      <c r="T12" s="152">
        <f t="shared" si="12"/>
        <v>0</v>
      </c>
      <c r="U12" s="153">
        <f t="shared" si="13"/>
        <v>0</v>
      </c>
      <c r="V12" s="187"/>
      <c r="W12" s="152"/>
      <c r="X12" s="152">
        <f t="shared" si="14"/>
        <v>0</v>
      </c>
      <c r="Y12" s="153">
        <f t="shared" si="15"/>
        <v>0</v>
      </c>
      <c r="Z12" s="187"/>
      <c r="AA12" s="152"/>
      <c r="AB12" s="187">
        <f t="shared" si="16"/>
        <v>0</v>
      </c>
      <c r="AC12" s="1605">
        <f t="shared" si="17"/>
        <v>0</v>
      </c>
      <c r="AD12" s="186"/>
      <c r="AE12" s="148"/>
      <c r="AF12" s="148">
        <f t="shared" si="18"/>
        <v>0</v>
      </c>
      <c r="AG12" s="149">
        <f t="shared" si="19"/>
        <v>0</v>
      </c>
      <c r="AH12" s="147"/>
      <c r="AI12" s="148"/>
      <c r="AJ12" s="148">
        <f t="shared" si="20"/>
        <v>0</v>
      </c>
      <c r="AK12" s="149">
        <f t="shared" si="21"/>
        <v>0</v>
      </c>
      <c r="AL12" s="147"/>
      <c r="AM12" s="148"/>
      <c r="AN12" s="148">
        <f t="shared" si="22"/>
        <v>0</v>
      </c>
      <c r="AO12" s="149">
        <f t="shared" si="23"/>
        <v>0</v>
      </c>
      <c r="AP12" s="151">
        <v>3906422</v>
      </c>
      <c r="AQ12" s="152">
        <v>1407442</v>
      </c>
      <c r="AR12" s="152">
        <f t="shared" si="24"/>
        <v>3906422</v>
      </c>
      <c r="AS12" s="153">
        <f t="shared" si="25"/>
        <v>1407442</v>
      </c>
      <c r="AT12" s="147"/>
      <c r="AU12" s="148"/>
      <c r="AV12" s="148">
        <f t="shared" si="26"/>
        <v>0</v>
      </c>
      <c r="AW12" s="149">
        <f t="shared" si="27"/>
        <v>0</v>
      </c>
      <c r="AX12" s="147"/>
      <c r="AY12" s="148"/>
      <c r="AZ12" s="155">
        <f t="shared" si="28"/>
        <v>0</v>
      </c>
      <c r="BA12" s="156">
        <f t="shared" si="29"/>
        <v>0</v>
      </c>
      <c r="BB12" s="147"/>
      <c r="BC12" s="148"/>
      <c r="BD12" s="148">
        <f t="shared" si="30"/>
        <v>0</v>
      </c>
      <c r="BE12" s="149">
        <f t="shared" si="31"/>
        <v>0</v>
      </c>
      <c r="BF12" s="147">
        <v>78886</v>
      </c>
      <c r="BG12" s="148">
        <v>62568</v>
      </c>
      <c r="BH12" s="148">
        <f t="shared" si="32"/>
        <v>78886</v>
      </c>
      <c r="BI12" s="149">
        <f t="shared" si="33"/>
        <v>62568</v>
      </c>
      <c r="BJ12" s="147"/>
      <c r="BK12" s="148"/>
      <c r="BL12" s="148">
        <f t="shared" si="34"/>
        <v>0</v>
      </c>
      <c r="BM12" s="149">
        <f t="shared" si="35"/>
        <v>0</v>
      </c>
      <c r="BN12" s="147"/>
      <c r="BO12" s="148"/>
      <c r="BP12" s="148">
        <f t="shared" si="36"/>
        <v>0</v>
      </c>
      <c r="BQ12" s="148">
        <f t="shared" si="37"/>
        <v>0</v>
      </c>
      <c r="BR12" s="147"/>
      <c r="BS12" s="148"/>
      <c r="BT12" s="148">
        <f t="shared" si="46"/>
        <v>0</v>
      </c>
      <c r="BU12" s="149">
        <f t="shared" si="47"/>
        <v>0</v>
      </c>
      <c r="BV12" s="157"/>
      <c r="BW12" s="148"/>
      <c r="BX12" s="148"/>
      <c r="BY12" s="149"/>
      <c r="BZ12" s="331">
        <v>1921336</v>
      </c>
      <c r="CA12" s="325">
        <v>1403312</v>
      </c>
      <c r="CB12" s="329">
        <f t="shared" si="48"/>
        <v>1921336</v>
      </c>
      <c r="CC12" s="330">
        <f t="shared" si="49"/>
        <v>1403312</v>
      </c>
      <c r="CD12" s="323"/>
      <c r="CE12" s="173"/>
      <c r="CF12" s="173">
        <f t="shared" si="38"/>
        <v>0</v>
      </c>
      <c r="CG12" s="1608">
        <f t="shared" si="39"/>
        <v>0</v>
      </c>
      <c r="CH12" s="174"/>
      <c r="CI12" s="175"/>
      <c r="CJ12" s="175">
        <f t="shared" si="40"/>
        <v>0</v>
      </c>
      <c r="CK12" s="176">
        <f t="shared" si="41"/>
        <v>0</v>
      </c>
      <c r="CL12" s="151"/>
      <c r="CM12" s="152"/>
      <c r="CN12" s="152">
        <f t="shared" si="42"/>
        <v>0</v>
      </c>
      <c r="CO12" s="153">
        <f t="shared" si="43"/>
        <v>0</v>
      </c>
      <c r="CP12" s="177">
        <f t="shared" si="50"/>
        <v>5906644</v>
      </c>
      <c r="CQ12" s="189">
        <f t="shared" si="2"/>
        <v>2873322</v>
      </c>
      <c r="CR12" s="189">
        <f t="shared" si="2"/>
        <v>5906644</v>
      </c>
      <c r="CS12" s="191">
        <f t="shared" si="2"/>
        <v>2873322</v>
      </c>
      <c r="CT12" s="174"/>
      <c r="CU12" s="175"/>
      <c r="CV12" s="175">
        <f t="shared" si="44"/>
        <v>0</v>
      </c>
      <c r="CW12" s="176">
        <f t="shared" si="45"/>
        <v>0</v>
      </c>
      <c r="CX12" s="177">
        <f t="shared" si="51"/>
        <v>5906644</v>
      </c>
      <c r="CY12" s="189">
        <f t="shared" si="3"/>
        <v>2873322</v>
      </c>
      <c r="CZ12" s="189">
        <f t="shared" si="3"/>
        <v>5906644</v>
      </c>
      <c r="DA12" s="191">
        <f t="shared" si="3"/>
        <v>2873322</v>
      </c>
    </row>
    <row r="13" spans="1:105" s="144" customFormat="1" ht="15" thickBot="1">
      <c r="A13" s="179" t="s">
        <v>38</v>
      </c>
      <c r="B13" s="185"/>
      <c r="C13" s="145"/>
      <c r="D13" s="145">
        <f t="shared" si="4"/>
        <v>0</v>
      </c>
      <c r="E13" s="146">
        <f t="shared" si="5"/>
        <v>0</v>
      </c>
      <c r="F13" s="186">
        <v>12237</v>
      </c>
      <c r="G13" s="148">
        <v>11829</v>
      </c>
      <c r="H13" s="148">
        <f t="shared" si="6"/>
        <v>12237</v>
      </c>
      <c r="I13" s="149">
        <f t="shared" si="7"/>
        <v>11829</v>
      </c>
      <c r="J13" s="187"/>
      <c r="K13" s="152"/>
      <c r="L13" s="152">
        <f t="shared" si="8"/>
        <v>0</v>
      </c>
      <c r="M13" s="153">
        <f t="shared" si="9"/>
        <v>0</v>
      </c>
      <c r="N13" s="187"/>
      <c r="O13" s="152"/>
      <c r="P13" s="152">
        <f t="shared" si="10"/>
        <v>0</v>
      </c>
      <c r="Q13" s="153">
        <f t="shared" si="11"/>
        <v>0</v>
      </c>
      <c r="R13" s="187"/>
      <c r="S13" s="152"/>
      <c r="T13" s="152">
        <f t="shared" si="12"/>
        <v>0</v>
      </c>
      <c r="U13" s="153">
        <f t="shared" si="13"/>
        <v>0</v>
      </c>
      <c r="V13" s="187">
        <v>733697</v>
      </c>
      <c r="W13" s="152">
        <v>1401708</v>
      </c>
      <c r="X13" s="152">
        <f t="shared" si="14"/>
        <v>733697</v>
      </c>
      <c r="Y13" s="153">
        <f t="shared" si="15"/>
        <v>1401708</v>
      </c>
      <c r="Z13" s="187"/>
      <c r="AA13" s="152"/>
      <c r="AB13" s="187">
        <f t="shared" si="16"/>
        <v>0</v>
      </c>
      <c r="AC13" s="1605">
        <f t="shared" si="17"/>
        <v>0</v>
      </c>
      <c r="AD13" s="186">
        <v>20008</v>
      </c>
      <c r="AE13" s="148">
        <v>14181</v>
      </c>
      <c r="AF13" s="148">
        <f t="shared" si="18"/>
        <v>20008</v>
      </c>
      <c r="AG13" s="149">
        <f t="shared" si="19"/>
        <v>14181</v>
      </c>
      <c r="AH13" s="147"/>
      <c r="AI13" s="148"/>
      <c r="AJ13" s="148">
        <f t="shared" si="20"/>
        <v>0</v>
      </c>
      <c r="AK13" s="149">
        <f t="shared" si="21"/>
        <v>0</v>
      </c>
      <c r="AL13" s="147">
        <v>31080</v>
      </c>
      <c r="AM13" s="148">
        <v>20632</v>
      </c>
      <c r="AN13" s="148">
        <f t="shared" si="22"/>
        <v>31080</v>
      </c>
      <c r="AO13" s="149">
        <f t="shared" si="23"/>
        <v>20632</v>
      </c>
      <c r="AP13" s="151">
        <v>3704146</v>
      </c>
      <c r="AQ13" s="152">
        <v>5617227</v>
      </c>
      <c r="AR13" s="152">
        <f t="shared" si="24"/>
        <v>3704146</v>
      </c>
      <c r="AS13" s="153">
        <f t="shared" si="25"/>
        <v>5617227</v>
      </c>
      <c r="AT13" s="147"/>
      <c r="AU13" s="148"/>
      <c r="AV13" s="148">
        <f t="shared" si="26"/>
        <v>0</v>
      </c>
      <c r="AW13" s="149">
        <f t="shared" si="27"/>
        <v>0</v>
      </c>
      <c r="AX13" s="147"/>
      <c r="AY13" s="148"/>
      <c r="AZ13" s="155">
        <f t="shared" si="28"/>
        <v>0</v>
      </c>
      <c r="BA13" s="156">
        <f t="shared" si="29"/>
        <v>0</v>
      </c>
      <c r="BB13" s="147"/>
      <c r="BC13" s="148"/>
      <c r="BD13" s="148">
        <f t="shared" si="30"/>
        <v>0</v>
      </c>
      <c r="BE13" s="149">
        <f t="shared" si="31"/>
        <v>0</v>
      </c>
      <c r="BF13" s="147"/>
      <c r="BG13" s="148"/>
      <c r="BH13" s="148">
        <f t="shared" si="32"/>
        <v>0</v>
      </c>
      <c r="BI13" s="149">
        <f t="shared" si="33"/>
        <v>0</v>
      </c>
      <c r="BJ13" s="147"/>
      <c r="BK13" s="148"/>
      <c r="BL13" s="148">
        <f t="shared" si="34"/>
        <v>0</v>
      </c>
      <c r="BM13" s="149">
        <f t="shared" si="35"/>
        <v>0</v>
      </c>
      <c r="BN13" s="147"/>
      <c r="BO13" s="148"/>
      <c r="BP13" s="148">
        <f t="shared" si="36"/>
        <v>0</v>
      </c>
      <c r="BQ13" s="148">
        <f t="shared" si="37"/>
        <v>0</v>
      </c>
      <c r="BR13" s="147"/>
      <c r="BS13" s="148"/>
      <c r="BT13" s="148">
        <f t="shared" si="46"/>
        <v>0</v>
      </c>
      <c r="BU13" s="149">
        <f t="shared" si="47"/>
        <v>0</v>
      </c>
      <c r="BV13" s="157"/>
      <c r="BW13" s="148"/>
      <c r="BX13" s="148"/>
      <c r="BY13" s="149"/>
      <c r="BZ13" s="331">
        <v>9280565</v>
      </c>
      <c r="CA13" s="325">
        <v>4089292</v>
      </c>
      <c r="CB13" s="329">
        <f t="shared" si="48"/>
        <v>9280565</v>
      </c>
      <c r="CC13" s="330">
        <f t="shared" si="49"/>
        <v>4089292</v>
      </c>
      <c r="CD13" s="323">
        <v>2545</v>
      </c>
      <c r="CE13" s="173">
        <v>612</v>
      </c>
      <c r="CF13" s="173">
        <f t="shared" si="38"/>
        <v>2545</v>
      </c>
      <c r="CG13" s="1608">
        <f t="shared" si="39"/>
        <v>612</v>
      </c>
      <c r="CH13" s="174"/>
      <c r="CI13" s="175"/>
      <c r="CJ13" s="175">
        <f t="shared" si="40"/>
        <v>0</v>
      </c>
      <c r="CK13" s="176">
        <f t="shared" si="41"/>
        <v>0</v>
      </c>
      <c r="CL13" s="151"/>
      <c r="CM13" s="152"/>
      <c r="CN13" s="152">
        <f t="shared" si="42"/>
        <v>0</v>
      </c>
      <c r="CO13" s="153">
        <f t="shared" si="43"/>
        <v>0</v>
      </c>
      <c r="CP13" s="177">
        <f t="shared" si="50"/>
        <v>13784278</v>
      </c>
      <c r="CQ13" s="189">
        <f t="shared" si="2"/>
        <v>11155481</v>
      </c>
      <c r="CR13" s="189">
        <f t="shared" si="2"/>
        <v>13784278</v>
      </c>
      <c r="CS13" s="191">
        <f t="shared" si="2"/>
        <v>11155481</v>
      </c>
      <c r="CT13" s="174"/>
      <c r="CU13" s="175"/>
      <c r="CV13" s="175">
        <f t="shared" si="44"/>
        <v>0</v>
      </c>
      <c r="CW13" s="176">
        <f t="shared" si="45"/>
        <v>0</v>
      </c>
      <c r="CX13" s="177">
        <f t="shared" si="51"/>
        <v>13784278</v>
      </c>
      <c r="CY13" s="189">
        <f t="shared" si="3"/>
        <v>11155481</v>
      </c>
      <c r="CZ13" s="189">
        <f t="shared" si="3"/>
        <v>13784278</v>
      </c>
      <c r="DA13" s="191">
        <f t="shared" si="3"/>
        <v>11155481</v>
      </c>
    </row>
    <row r="14" spans="1:105" s="144" customFormat="1" ht="15" thickBot="1">
      <c r="A14" s="179" t="s">
        <v>39</v>
      </c>
      <c r="B14" s="194">
        <v>21015</v>
      </c>
      <c r="C14" s="195">
        <v>26785</v>
      </c>
      <c r="D14" s="145">
        <f t="shared" si="4"/>
        <v>21015</v>
      </c>
      <c r="E14" s="146">
        <f t="shared" si="5"/>
        <v>26785</v>
      </c>
      <c r="F14" s="196">
        <v>28754</v>
      </c>
      <c r="G14" s="164">
        <v>5605</v>
      </c>
      <c r="H14" s="148">
        <f t="shared" si="6"/>
        <v>28754</v>
      </c>
      <c r="I14" s="149">
        <f t="shared" si="7"/>
        <v>5605</v>
      </c>
      <c r="J14" s="189">
        <v>2120</v>
      </c>
      <c r="K14" s="181">
        <v>1827</v>
      </c>
      <c r="L14" s="152">
        <f t="shared" si="8"/>
        <v>2120</v>
      </c>
      <c r="M14" s="153">
        <f t="shared" si="9"/>
        <v>1827</v>
      </c>
      <c r="N14" s="189">
        <v>46801</v>
      </c>
      <c r="O14" s="181">
        <v>47728</v>
      </c>
      <c r="P14" s="152">
        <f t="shared" si="10"/>
        <v>46801</v>
      </c>
      <c r="Q14" s="153">
        <f t="shared" si="11"/>
        <v>47728</v>
      </c>
      <c r="R14" s="189">
        <v>5594</v>
      </c>
      <c r="S14" s="181">
        <v>5868</v>
      </c>
      <c r="T14" s="152">
        <f t="shared" si="12"/>
        <v>5594</v>
      </c>
      <c r="U14" s="153">
        <f t="shared" si="13"/>
        <v>5868</v>
      </c>
      <c r="V14" s="189"/>
      <c r="W14" s="181"/>
      <c r="X14" s="152">
        <f t="shared" si="14"/>
        <v>0</v>
      </c>
      <c r="Y14" s="153">
        <f t="shared" si="15"/>
        <v>0</v>
      </c>
      <c r="Z14" s="189"/>
      <c r="AA14" s="181"/>
      <c r="AB14" s="187">
        <f t="shared" si="16"/>
        <v>0</v>
      </c>
      <c r="AC14" s="1605">
        <f t="shared" si="17"/>
        <v>0</v>
      </c>
      <c r="AD14" s="196"/>
      <c r="AE14" s="164"/>
      <c r="AF14" s="148">
        <f t="shared" si="18"/>
        <v>0</v>
      </c>
      <c r="AG14" s="149">
        <f t="shared" si="19"/>
        <v>0</v>
      </c>
      <c r="AH14" s="160"/>
      <c r="AI14" s="164"/>
      <c r="AJ14" s="148">
        <f t="shared" si="20"/>
        <v>0</v>
      </c>
      <c r="AK14" s="149">
        <f t="shared" si="21"/>
        <v>0</v>
      </c>
      <c r="AL14" s="160"/>
      <c r="AM14" s="164"/>
      <c r="AN14" s="148">
        <f t="shared" si="22"/>
        <v>0</v>
      </c>
      <c r="AO14" s="149">
        <f t="shared" si="23"/>
        <v>0</v>
      </c>
      <c r="AP14" s="177"/>
      <c r="AQ14" s="181"/>
      <c r="AR14" s="152">
        <f t="shared" si="24"/>
        <v>0</v>
      </c>
      <c r="AS14" s="153">
        <f t="shared" si="25"/>
        <v>0</v>
      </c>
      <c r="AT14" s="160">
        <v>15038</v>
      </c>
      <c r="AU14" s="164">
        <v>35124</v>
      </c>
      <c r="AV14" s="148">
        <f t="shared" si="26"/>
        <v>15038</v>
      </c>
      <c r="AW14" s="149">
        <f t="shared" si="27"/>
        <v>35124</v>
      </c>
      <c r="AX14" s="154">
        <v>2191</v>
      </c>
      <c r="AY14" s="155">
        <v>3853</v>
      </c>
      <c r="AZ14" s="155">
        <f t="shared" si="28"/>
        <v>2191</v>
      </c>
      <c r="BA14" s="156">
        <f t="shared" si="29"/>
        <v>3853</v>
      </c>
      <c r="BB14" s="160"/>
      <c r="BC14" s="164"/>
      <c r="BD14" s="148">
        <f t="shared" si="30"/>
        <v>0</v>
      </c>
      <c r="BE14" s="149">
        <f t="shared" si="31"/>
        <v>0</v>
      </c>
      <c r="BF14" s="197">
        <v>2875</v>
      </c>
      <c r="BG14" s="198">
        <v>1500</v>
      </c>
      <c r="BH14" s="148">
        <f t="shared" si="32"/>
        <v>2875</v>
      </c>
      <c r="BI14" s="149">
        <f t="shared" si="33"/>
        <v>1500</v>
      </c>
      <c r="BJ14" s="160"/>
      <c r="BK14" s="164"/>
      <c r="BL14" s="148">
        <f t="shared" si="34"/>
        <v>0</v>
      </c>
      <c r="BM14" s="149">
        <f t="shared" si="35"/>
        <v>0</v>
      </c>
      <c r="BN14" s="160"/>
      <c r="BO14" s="164"/>
      <c r="BP14" s="148">
        <f t="shared" si="36"/>
        <v>0</v>
      </c>
      <c r="BQ14" s="148">
        <f t="shared" si="37"/>
        <v>0</v>
      </c>
      <c r="BR14" s="160">
        <v>615</v>
      </c>
      <c r="BS14" s="164">
        <v>950</v>
      </c>
      <c r="BT14" s="148">
        <f t="shared" si="46"/>
        <v>615</v>
      </c>
      <c r="BU14" s="149">
        <f t="shared" si="47"/>
        <v>950</v>
      </c>
      <c r="BV14" s="157"/>
      <c r="BW14" s="148"/>
      <c r="BX14" s="148"/>
      <c r="BY14" s="149"/>
      <c r="BZ14" s="331">
        <v>19532</v>
      </c>
      <c r="CA14" s="325">
        <v>17039</v>
      </c>
      <c r="CB14" s="329">
        <f t="shared" si="48"/>
        <v>19532</v>
      </c>
      <c r="CC14" s="330">
        <f t="shared" si="49"/>
        <v>17039</v>
      </c>
      <c r="CD14" s="323"/>
      <c r="CE14" s="173"/>
      <c r="CF14" s="173">
        <f t="shared" si="38"/>
        <v>0</v>
      </c>
      <c r="CG14" s="1608">
        <f t="shared" si="39"/>
        <v>0</v>
      </c>
      <c r="CH14" s="174">
        <v>-250</v>
      </c>
      <c r="CI14" s="175"/>
      <c r="CJ14" s="175">
        <f t="shared" si="40"/>
        <v>-250</v>
      </c>
      <c r="CK14" s="176">
        <f t="shared" si="41"/>
        <v>0</v>
      </c>
      <c r="CL14" s="177"/>
      <c r="CM14" s="181"/>
      <c r="CN14" s="152">
        <f t="shared" si="42"/>
        <v>0</v>
      </c>
      <c r="CO14" s="153">
        <f t="shared" si="43"/>
        <v>0</v>
      </c>
      <c r="CP14" s="177">
        <f t="shared" si="50"/>
        <v>144285</v>
      </c>
      <c r="CQ14" s="189">
        <f t="shared" si="2"/>
        <v>146279</v>
      </c>
      <c r="CR14" s="189">
        <f t="shared" si="2"/>
        <v>144285</v>
      </c>
      <c r="CS14" s="191">
        <f t="shared" si="2"/>
        <v>146279</v>
      </c>
      <c r="CT14" s="177"/>
      <c r="CU14" s="181"/>
      <c r="CV14" s="175">
        <f t="shared" si="44"/>
        <v>0</v>
      </c>
      <c r="CW14" s="176">
        <f t="shared" si="45"/>
        <v>0</v>
      </c>
      <c r="CX14" s="177">
        <f t="shared" si="51"/>
        <v>144285</v>
      </c>
      <c r="CY14" s="189">
        <f t="shared" si="3"/>
        <v>146279</v>
      </c>
      <c r="CZ14" s="189">
        <f t="shared" si="3"/>
        <v>144285</v>
      </c>
      <c r="DA14" s="191">
        <f t="shared" si="3"/>
        <v>146279</v>
      </c>
    </row>
    <row r="15" spans="1:105" s="144" customFormat="1" ht="15" thickBot="1">
      <c r="A15" s="179" t="s">
        <v>40</v>
      </c>
      <c r="B15" s="185">
        <v>1484</v>
      </c>
      <c r="C15" s="145">
        <v>2274</v>
      </c>
      <c r="D15" s="145">
        <f t="shared" si="4"/>
        <v>1484</v>
      </c>
      <c r="E15" s="146">
        <f t="shared" si="5"/>
        <v>2274</v>
      </c>
      <c r="F15" s="186">
        <v>2351</v>
      </c>
      <c r="G15" s="148">
        <v>2938</v>
      </c>
      <c r="H15" s="148">
        <f t="shared" si="6"/>
        <v>2351</v>
      </c>
      <c r="I15" s="149">
        <f t="shared" si="7"/>
        <v>2938</v>
      </c>
      <c r="J15" s="187">
        <v>4500</v>
      </c>
      <c r="K15" s="152"/>
      <c r="L15" s="152">
        <f t="shared" si="8"/>
        <v>4500</v>
      </c>
      <c r="M15" s="153">
        <f t="shared" si="9"/>
        <v>0</v>
      </c>
      <c r="N15" s="187">
        <v>24224</v>
      </c>
      <c r="O15" s="152">
        <v>19124</v>
      </c>
      <c r="P15" s="152">
        <f t="shared" si="10"/>
        <v>24224</v>
      </c>
      <c r="Q15" s="153">
        <f t="shared" si="11"/>
        <v>19124</v>
      </c>
      <c r="R15" s="187">
        <v>1184</v>
      </c>
      <c r="S15" s="152">
        <v>18774</v>
      </c>
      <c r="T15" s="152">
        <f t="shared" si="12"/>
        <v>1184</v>
      </c>
      <c r="U15" s="153">
        <f t="shared" si="13"/>
        <v>18774</v>
      </c>
      <c r="V15" s="187"/>
      <c r="W15" s="152"/>
      <c r="X15" s="152">
        <f t="shared" si="14"/>
        <v>0</v>
      </c>
      <c r="Y15" s="153">
        <f t="shared" si="15"/>
        <v>0</v>
      </c>
      <c r="Z15" s="187">
        <v>100</v>
      </c>
      <c r="AA15" s="152">
        <v>165</v>
      </c>
      <c r="AB15" s="187">
        <f t="shared" si="16"/>
        <v>100</v>
      </c>
      <c r="AC15" s="1605">
        <f t="shared" si="17"/>
        <v>165</v>
      </c>
      <c r="AD15" s="186">
        <v>5500</v>
      </c>
      <c r="AE15" s="148">
        <v>84</v>
      </c>
      <c r="AF15" s="148">
        <f t="shared" si="18"/>
        <v>5500</v>
      </c>
      <c r="AG15" s="149">
        <f t="shared" si="19"/>
        <v>84</v>
      </c>
      <c r="AH15" s="147"/>
      <c r="AI15" s="148"/>
      <c r="AJ15" s="148">
        <f t="shared" si="20"/>
        <v>0</v>
      </c>
      <c r="AK15" s="149">
        <f t="shared" si="21"/>
        <v>0</v>
      </c>
      <c r="AL15" s="147">
        <v>1000</v>
      </c>
      <c r="AM15" s="148"/>
      <c r="AN15" s="148">
        <f t="shared" si="22"/>
        <v>1000</v>
      </c>
      <c r="AO15" s="149">
        <f t="shared" si="23"/>
        <v>0</v>
      </c>
      <c r="AP15" s="151">
        <v>75927</v>
      </c>
      <c r="AQ15" s="152">
        <v>104087</v>
      </c>
      <c r="AR15" s="152">
        <f t="shared" si="24"/>
        <v>75927</v>
      </c>
      <c r="AS15" s="153">
        <f t="shared" si="25"/>
        <v>104087</v>
      </c>
      <c r="AT15" s="147">
        <v>278625</v>
      </c>
      <c r="AU15" s="148">
        <v>263899</v>
      </c>
      <c r="AV15" s="148">
        <f t="shared" si="26"/>
        <v>278625</v>
      </c>
      <c r="AW15" s="149">
        <f t="shared" si="27"/>
        <v>263899</v>
      </c>
      <c r="AX15" s="154"/>
      <c r="AY15" s="155"/>
      <c r="AZ15" s="155">
        <f t="shared" si="28"/>
        <v>0</v>
      </c>
      <c r="BA15" s="156">
        <f t="shared" si="29"/>
        <v>0</v>
      </c>
      <c r="BB15" s="147">
        <v>4260</v>
      </c>
      <c r="BC15" s="148">
        <v>5001</v>
      </c>
      <c r="BD15" s="148">
        <f t="shared" si="30"/>
        <v>4260</v>
      </c>
      <c r="BE15" s="149">
        <f t="shared" si="31"/>
        <v>5001</v>
      </c>
      <c r="BF15" s="147"/>
      <c r="BG15" s="148"/>
      <c r="BH15" s="148">
        <f t="shared" si="32"/>
        <v>0</v>
      </c>
      <c r="BI15" s="149">
        <f t="shared" si="33"/>
        <v>0</v>
      </c>
      <c r="BJ15" s="147">
        <v>10354</v>
      </c>
      <c r="BK15" s="148">
        <v>10014</v>
      </c>
      <c r="BL15" s="148">
        <f t="shared" si="34"/>
        <v>10354</v>
      </c>
      <c r="BM15" s="149">
        <f t="shared" si="35"/>
        <v>10014</v>
      </c>
      <c r="BN15" s="147">
        <v>15147</v>
      </c>
      <c r="BO15" s="148">
        <v>18800</v>
      </c>
      <c r="BP15" s="148">
        <f t="shared" si="36"/>
        <v>15147</v>
      </c>
      <c r="BQ15" s="148">
        <f t="shared" si="37"/>
        <v>18800</v>
      </c>
      <c r="BR15" s="147">
        <v>6810</v>
      </c>
      <c r="BS15" s="148">
        <v>5487</v>
      </c>
      <c r="BT15" s="148">
        <f t="shared" si="46"/>
        <v>6810</v>
      </c>
      <c r="BU15" s="149">
        <f t="shared" si="47"/>
        <v>5487</v>
      </c>
      <c r="BV15" s="157"/>
      <c r="BW15" s="148"/>
      <c r="BX15" s="148"/>
      <c r="BY15" s="149"/>
      <c r="BZ15" s="331">
        <v>4217</v>
      </c>
      <c r="CA15" s="325">
        <v>769</v>
      </c>
      <c r="CB15" s="329">
        <f t="shared" si="48"/>
        <v>4217</v>
      </c>
      <c r="CC15" s="330">
        <f t="shared" si="49"/>
        <v>769</v>
      </c>
      <c r="CD15" s="323"/>
      <c r="CE15" s="173"/>
      <c r="CF15" s="173">
        <f t="shared" si="38"/>
        <v>0</v>
      </c>
      <c r="CG15" s="1608">
        <f t="shared" si="39"/>
        <v>0</v>
      </c>
      <c r="CH15" s="174">
        <v>21488</v>
      </c>
      <c r="CI15" s="175">
        <v>14597</v>
      </c>
      <c r="CJ15" s="175">
        <f t="shared" si="40"/>
        <v>21488</v>
      </c>
      <c r="CK15" s="176">
        <f t="shared" si="41"/>
        <v>14597</v>
      </c>
      <c r="CL15" s="151">
        <v>518</v>
      </c>
      <c r="CM15" s="152">
        <v>975</v>
      </c>
      <c r="CN15" s="152">
        <f t="shared" si="42"/>
        <v>518</v>
      </c>
      <c r="CO15" s="153">
        <f t="shared" si="43"/>
        <v>975</v>
      </c>
      <c r="CP15" s="177">
        <f t="shared" si="50"/>
        <v>457689</v>
      </c>
      <c r="CQ15" s="189">
        <f t="shared" si="2"/>
        <v>466988</v>
      </c>
      <c r="CR15" s="189">
        <f t="shared" si="2"/>
        <v>457689</v>
      </c>
      <c r="CS15" s="191">
        <f t="shared" si="2"/>
        <v>466988</v>
      </c>
      <c r="CT15" s="151">
        <f>23273+41932+26788+5419+9966</f>
        <v>107378</v>
      </c>
      <c r="CU15" s="152">
        <f>8513+16948+27531+2114</f>
        <v>55106</v>
      </c>
      <c r="CV15" s="175">
        <f t="shared" si="44"/>
        <v>107378</v>
      </c>
      <c r="CW15" s="176">
        <f t="shared" si="45"/>
        <v>55106</v>
      </c>
      <c r="CX15" s="177">
        <f t="shared" si="51"/>
        <v>565067</v>
      </c>
      <c r="CY15" s="189">
        <f t="shared" si="3"/>
        <v>522094</v>
      </c>
      <c r="CZ15" s="189">
        <f t="shared" si="3"/>
        <v>565067</v>
      </c>
      <c r="DA15" s="191">
        <f t="shared" si="3"/>
        <v>522094</v>
      </c>
    </row>
    <row r="16" spans="1:105" s="144" customFormat="1" ht="15" thickBot="1">
      <c r="A16" s="179" t="s">
        <v>41</v>
      </c>
      <c r="B16" s="185"/>
      <c r="C16" s="145"/>
      <c r="D16" s="145">
        <f t="shared" si="4"/>
        <v>0</v>
      </c>
      <c r="E16" s="146">
        <f t="shared" si="5"/>
        <v>0</v>
      </c>
      <c r="F16" s="186">
        <v>6082</v>
      </c>
      <c r="G16" s="148">
        <v>5915</v>
      </c>
      <c r="H16" s="148">
        <f t="shared" si="6"/>
        <v>6082</v>
      </c>
      <c r="I16" s="149">
        <f t="shared" si="7"/>
        <v>5915</v>
      </c>
      <c r="J16" s="187">
        <v>32718</v>
      </c>
      <c r="K16" s="152">
        <v>29485</v>
      </c>
      <c r="L16" s="152">
        <f t="shared" si="8"/>
        <v>32718</v>
      </c>
      <c r="M16" s="153">
        <f t="shared" si="9"/>
        <v>29485</v>
      </c>
      <c r="N16" s="187"/>
      <c r="O16" s="152"/>
      <c r="P16" s="152">
        <f t="shared" si="10"/>
        <v>0</v>
      </c>
      <c r="Q16" s="153">
        <f t="shared" si="11"/>
        <v>0</v>
      </c>
      <c r="R16" s="187"/>
      <c r="S16" s="152"/>
      <c r="T16" s="152">
        <f t="shared" si="12"/>
        <v>0</v>
      </c>
      <c r="U16" s="153">
        <f t="shared" si="13"/>
        <v>0</v>
      </c>
      <c r="V16" s="187"/>
      <c r="W16" s="152"/>
      <c r="X16" s="152">
        <f t="shared" si="14"/>
        <v>0</v>
      </c>
      <c r="Y16" s="153">
        <f t="shared" si="15"/>
        <v>0</v>
      </c>
      <c r="Z16" s="187"/>
      <c r="AA16" s="152"/>
      <c r="AB16" s="187">
        <f t="shared" si="16"/>
        <v>0</v>
      </c>
      <c r="AC16" s="1605">
        <f t="shared" si="17"/>
        <v>0</v>
      </c>
      <c r="AD16" s="186"/>
      <c r="AE16" s="148"/>
      <c r="AF16" s="148">
        <f t="shared" si="18"/>
        <v>0</v>
      </c>
      <c r="AG16" s="149">
        <f t="shared" si="19"/>
        <v>0</v>
      </c>
      <c r="AH16" s="147"/>
      <c r="AI16" s="148"/>
      <c r="AJ16" s="148">
        <f t="shared" si="20"/>
        <v>0</v>
      </c>
      <c r="AK16" s="149">
        <f t="shared" si="21"/>
        <v>0</v>
      </c>
      <c r="AL16" s="147"/>
      <c r="AM16" s="148"/>
      <c r="AN16" s="148">
        <f t="shared" si="22"/>
        <v>0</v>
      </c>
      <c r="AO16" s="149">
        <f t="shared" si="23"/>
        <v>0</v>
      </c>
      <c r="AP16" s="151"/>
      <c r="AQ16" s="152"/>
      <c r="AR16" s="152">
        <f t="shared" si="24"/>
        <v>0</v>
      </c>
      <c r="AS16" s="153">
        <f t="shared" si="25"/>
        <v>0</v>
      </c>
      <c r="AT16" s="147"/>
      <c r="AU16" s="148"/>
      <c r="AV16" s="148">
        <f t="shared" si="26"/>
        <v>0</v>
      </c>
      <c r="AW16" s="149">
        <f t="shared" si="27"/>
        <v>0</v>
      </c>
      <c r="AX16" s="154"/>
      <c r="AY16" s="155"/>
      <c r="AZ16" s="155">
        <f t="shared" si="28"/>
        <v>0</v>
      </c>
      <c r="BA16" s="156">
        <f t="shared" si="29"/>
        <v>0</v>
      </c>
      <c r="BB16" s="147"/>
      <c r="BC16" s="148"/>
      <c r="BD16" s="148">
        <f t="shared" si="30"/>
        <v>0</v>
      </c>
      <c r="BE16" s="149">
        <f t="shared" si="31"/>
        <v>0</v>
      </c>
      <c r="BF16" s="147"/>
      <c r="BG16" s="148"/>
      <c r="BH16" s="148">
        <f t="shared" si="32"/>
        <v>0</v>
      </c>
      <c r="BI16" s="149">
        <f t="shared" si="33"/>
        <v>0</v>
      </c>
      <c r="BJ16" s="147"/>
      <c r="BK16" s="148"/>
      <c r="BL16" s="148">
        <f t="shared" si="34"/>
        <v>0</v>
      </c>
      <c r="BM16" s="149">
        <f t="shared" si="35"/>
        <v>0</v>
      </c>
      <c r="BN16" s="147"/>
      <c r="BO16" s="148"/>
      <c r="BP16" s="148">
        <f t="shared" si="36"/>
        <v>0</v>
      </c>
      <c r="BQ16" s="148">
        <f t="shared" si="37"/>
        <v>0</v>
      </c>
      <c r="BR16" s="147"/>
      <c r="BS16" s="148"/>
      <c r="BT16" s="148">
        <f t="shared" si="46"/>
        <v>0</v>
      </c>
      <c r="BU16" s="149">
        <f t="shared" si="47"/>
        <v>0</v>
      </c>
      <c r="BV16" s="157"/>
      <c r="BW16" s="148"/>
      <c r="BX16" s="148"/>
      <c r="BY16" s="149"/>
      <c r="BZ16" s="331"/>
      <c r="CA16" s="325"/>
      <c r="CB16" s="329">
        <f t="shared" si="48"/>
        <v>0</v>
      </c>
      <c r="CC16" s="330">
        <f t="shared" si="49"/>
        <v>0</v>
      </c>
      <c r="CD16" s="323"/>
      <c r="CE16" s="173"/>
      <c r="CF16" s="173">
        <f t="shared" si="38"/>
        <v>0</v>
      </c>
      <c r="CG16" s="1608">
        <f t="shared" si="39"/>
        <v>0</v>
      </c>
      <c r="CH16" s="174"/>
      <c r="CI16" s="175"/>
      <c r="CJ16" s="175">
        <f t="shared" si="40"/>
        <v>0</v>
      </c>
      <c r="CK16" s="176">
        <f t="shared" si="41"/>
        <v>0</v>
      </c>
      <c r="CL16" s="151"/>
      <c r="CM16" s="152"/>
      <c r="CN16" s="152">
        <f t="shared" si="42"/>
        <v>0</v>
      </c>
      <c r="CO16" s="153">
        <f t="shared" si="43"/>
        <v>0</v>
      </c>
      <c r="CP16" s="177"/>
      <c r="CQ16" s="189"/>
      <c r="CR16" s="189"/>
      <c r="CS16" s="191"/>
      <c r="CT16" s="151"/>
      <c r="CU16" s="152"/>
      <c r="CV16" s="175">
        <f t="shared" si="44"/>
        <v>0</v>
      </c>
      <c r="CW16" s="176">
        <f t="shared" si="45"/>
        <v>0</v>
      </c>
      <c r="CX16" s="177">
        <f t="shared" si="51"/>
        <v>0</v>
      </c>
      <c r="CY16" s="189"/>
      <c r="CZ16" s="189">
        <f t="shared" si="3"/>
        <v>0</v>
      </c>
      <c r="DA16" s="191"/>
    </row>
    <row r="17" spans="1:105" s="144" customFormat="1" ht="15" thickBot="1">
      <c r="A17" s="179" t="s">
        <v>42</v>
      </c>
      <c r="B17" s="185"/>
      <c r="C17" s="145"/>
      <c r="D17" s="145">
        <f t="shared" si="4"/>
        <v>0</v>
      </c>
      <c r="E17" s="146">
        <f t="shared" si="5"/>
        <v>0</v>
      </c>
      <c r="F17" s="186"/>
      <c r="G17" s="148"/>
      <c r="H17" s="148">
        <f t="shared" si="6"/>
        <v>0</v>
      </c>
      <c r="I17" s="149">
        <f t="shared" si="7"/>
        <v>0</v>
      </c>
      <c r="J17" s="187"/>
      <c r="K17" s="152"/>
      <c r="L17" s="152">
        <f t="shared" si="8"/>
        <v>0</v>
      </c>
      <c r="M17" s="153">
        <f t="shared" si="9"/>
        <v>0</v>
      </c>
      <c r="N17" s="187"/>
      <c r="O17" s="152"/>
      <c r="P17" s="152">
        <f t="shared" si="10"/>
        <v>0</v>
      </c>
      <c r="Q17" s="153">
        <f t="shared" si="11"/>
        <v>0</v>
      </c>
      <c r="R17" s="187"/>
      <c r="S17" s="152"/>
      <c r="T17" s="152">
        <f t="shared" si="12"/>
        <v>0</v>
      </c>
      <c r="U17" s="153">
        <f t="shared" si="13"/>
        <v>0</v>
      </c>
      <c r="V17" s="187"/>
      <c r="W17" s="152"/>
      <c r="X17" s="152">
        <f t="shared" si="14"/>
        <v>0</v>
      </c>
      <c r="Y17" s="153">
        <f t="shared" si="15"/>
        <v>0</v>
      </c>
      <c r="Z17" s="187"/>
      <c r="AA17" s="152"/>
      <c r="AB17" s="187">
        <f t="shared" si="16"/>
        <v>0</v>
      </c>
      <c r="AC17" s="1605">
        <f t="shared" si="17"/>
        <v>0</v>
      </c>
      <c r="AD17" s="186">
        <v>-330</v>
      </c>
      <c r="AE17" s="148"/>
      <c r="AF17" s="148">
        <f t="shared" si="18"/>
        <v>-330</v>
      </c>
      <c r="AG17" s="149">
        <f t="shared" si="19"/>
        <v>0</v>
      </c>
      <c r="AH17" s="147"/>
      <c r="AI17" s="148"/>
      <c r="AJ17" s="148">
        <f t="shared" si="20"/>
        <v>0</v>
      </c>
      <c r="AK17" s="149">
        <f t="shared" si="21"/>
        <v>0</v>
      </c>
      <c r="AL17" s="147"/>
      <c r="AM17" s="148"/>
      <c r="AN17" s="148">
        <f t="shared" si="22"/>
        <v>0</v>
      </c>
      <c r="AO17" s="149">
        <f t="shared" si="23"/>
        <v>0</v>
      </c>
      <c r="AP17" s="151"/>
      <c r="AQ17" s="152"/>
      <c r="AR17" s="152">
        <f t="shared" si="24"/>
        <v>0</v>
      </c>
      <c r="AS17" s="153">
        <f t="shared" si="25"/>
        <v>0</v>
      </c>
      <c r="AT17" s="147"/>
      <c r="AU17" s="148"/>
      <c r="AV17" s="148">
        <f t="shared" si="26"/>
        <v>0</v>
      </c>
      <c r="AW17" s="149">
        <f t="shared" si="27"/>
        <v>0</v>
      </c>
      <c r="AX17" s="154"/>
      <c r="AY17" s="155"/>
      <c r="AZ17" s="155">
        <f t="shared" si="28"/>
        <v>0</v>
      </c>
      <c r="BA17" s="156">
        <f t="shared" si="29"/>
        <v>0</v>
      </c>
      <c r="BB17" s="147"/>
      <c r="BC17" s="148"/>
      <c r="BD17" s="148">
        <f t="shared" si="30"/>
        <v>0</v>
      </c>
      <c r="BE17" s="149">
        <f t="shared" si="31"/>
        <v>0</v>
      </c>
      <c r="BF17" s="147"/>
      <c r="BG17" s="148"/>
      <c r="BH17" s="148">
        <f t="shared" si="32"/>
        <v>0</v>
      </c>
      <c r="BI17" s="149">
        <f t="shared" si="33"/>
        <v>0</v>
      </c>
      <c r="BJ17" s="147">
        <v>2046475</v>
      </c>
      <c r="BK17" s="148">
        <v>1730019</v>
      </c>
      <c r="BL17" s="148">
        <f t="shared" si="34"/>
        <v>2046475</v>
      </c>
      <c r="BM17" s="149">
        <f t="shared" si="35"/>
        <v>1730019</v>
      </c>
      <c r="BN17" s="147"/>
      <c r="BO17" s="148"/>
      <c r="BP17" s="148">
        <f t="shared" si="36"/>
        <v>0</v>
      </c>
      <c r="BQ17" s="148">
        <f t="shared" si="37"/>
        <v>0</v>
      </c>
      <c r="BR17" s="147"/>
      <c r="BS17" s="148"/>
      <c r="BT17" s="148">
        <f t="shared" si="46"/>
        <v>0</v>
      </c>
      <c r="BU17" s="149">
        <f t="shared" si="47"/>
        <v>0</v>
      </c>
      <c r="BV17" s="157"/>
      <c r="BW17" s="148"/>
      <c r="BX17" s="148"/>
      <c r="BY17" s="149"/>
      <c r="BZ17" s="331"/>
      <c r="CA17" s="325"/>
      <c r="CB17" s="329">
        <f t="shared" si="48"/>
        <v>0</v>
      </c>
      <c r="CC17" s="330">
        <f t="shared" si="49"/>
        <v>0</v>
      </c>
      <c r="CD17" s="323">
        <v>1225</v>
      </c>
      <c r="CE17" s="173">
        <v>1369</v>
      </c>
      <c r="CF17" s="173">
        <f t="shared" si="38"/>
        <v>1225</v>
      </c>
      <c r="CG17" s="1608">
        <f t="shared" si="39"/>
        <v>1369</v>
      </c>
      <c r="CH17" s="174"/>
      <c r="CI17" s="175"/>
      <c r="CJ17" s="175">
        <f t="shared" si="40"/>
        <v>0</v>
      </c>
      <c r="CK17" s="176">
        <f t="shared" si="41"/>
        <v>0</v>
      </c>
      <c r="CL17" s="151"/>
      <c r="CM17" s="152"/>
      <c r="CN17" s="152">
        <f t="shared" si="42"/>
        <v>0</v>
      </c>
      <c r="CO17" s="153">
        <f t="shared" si="43"/>
        <v>0</v>
      </c>
      <c r="CP17" s="177">
        <f aca="true" t="shared" si="52" ref="CP17:CP22">SUM(B17+F17+J17+N17+R17+V17+Z17+AD17+AH17+AL17+AP17+AT17+AX17+BB17+BF17+BJ17+BN17+BR17+BV17+BZ17+CD17+CH17+CL17)</f>
        <v>2047370</v>
      </c>
      <c r="CQ17" s="189">
        <f t="shared" si="2"/>
        <v>1731388</v>
      </c>
      <c r="CR17" s="189">
        <f t="shared" si="2"/>
        <v>2047370</v>
      </c>
      <c r="CS17" s="191">
        <f t="shared" si="2"/>
        <v>1731388</v>
      </c>
      <c r="CT17" s="151"/>
      <c r="CU17" s="152"/>
      <c r="CV17" s="175">
        <f t="shared" si="44"/>
        <v>0</v>
      </c>
      <c r="CW17" s="176">
        <f t="shared" si="45"/>
        <v>0</v>
      </c>
      <c r="CX17" s="177">
        <f t="shared" si="51"/>
        <v>2047370</v>
      </c>
      <c r="CY17" s="189">
        <f t="shared" si="3"/>
        <v>1731388</v>
      </c>
      <c r="CZ17" s="189">
        <f t="shared" si="3"/>
        <v>2047370</v>
      </c>
      <c r="DA17" s="191">
        <f t="shared" si="3"/>
        <v>1731388</v>
      </c>
    </row>
    <row r="18" spans="1:105" s="144" customFormat="1" ht="15" thickBot="1">
      <c r="A18" s="179" t="s">
        <v>43</v>
      </c>
      <c r="B18" s="185"/>
      <c r="C18" s="145"/>
      <c r="D18" s="145">
        <f t="shared" si="4"/>
        <v>0</v>
      </c>
      <c r="E18" s="146">
        <f t="shared" si="5"/>
        <v>0</v>
      </c>
      <c r="F18" s="186"/>
      <c r="G18" s="148"/>
      <c r="H18" s="148">
        <f t="shared" si="6"/>
        <v>0</v>
      </c>
      <c r="I18" s="149">
        <f t="shared" si="7"/>
        <v>0</v>
      </c>
      <c r="J18" s="187"/>
      <c r="K18" s="152"/>
      <c r="L18" s="152">
        <f t="shared" si="8"/>
        <v>0</v>
      </c>
      <c r="M18" s="153">
        <f t="shared" si="9"/>
        <v>0</v>
      </c>
      <c r="N18" s="187"/>
      <c r="O18" s="152"/>
      <c r="P18" s="152">
        <f t="shared" si="10"/>
        <v>0</v>
      </c>
      <c r="Q18" s="153">
        <f t="shared" si="11"/>
        <v>0</v>
      </c>
      <c r="R18" s="187"/>
      <c r="S18" s="152"/>
      <c r="T18" s="152">
        <f t="shared" si="12"/>
        <v>0</v>
      </c>
      <c r="U18" s="153">
        <f t="shared" si="13"/>
        <v>0</v>
      </c>
      <c r="V18" s="187"/>
      <c r="W18" s="152"/>
      <c r="X18" s="152">
        <f t="shared" si="14"/>
        <v>0</v>
      </c>
      <c r="Y18" s="153">
        <f t="shared" si="15"/>
        <v>0</v>
      </c>
      <c r="Z18" s="187"/>
      <c r="AA18" s="152"/>
      <c r="AB18" s="187">
        <f t="shared" si="16"/>
        <v>0</v>
      </c>
      <c r="AC18" s="1605">
        <f t="shared" si="17"/>
        <v>0</v>
      </c>
      <c r="AD18" s="186"/>
      <c r="AE18" s="148"/>
      <c r="AF18" s="148">
        <f t="shared" si="18"/>
        <v>0</v>
      </c>
      <c r="AG18" s="149">
        <f t="shared" si="19"/>
        <v>0</v>
      </c>
      <c r="AH18" s="147"/>
      <c r="AI18" s="148"/>
      <c r="AJ18" s="148">
        <f t="shared" si="20"/>
        <v>0</v>
      </c>
      <c r="AK18" s="149">
        <f t="shared" si="21"/>
        <v>0</v>
      </c>
      <c r="AL18" s="147"/>
      <c r="AM18" s="148"/>
      <c r="AN18" s="148">
        <f t="shared" si="22"/>
        <v>0</v>
      </c>
      <c r="AO18" s="149">
        <f t="shared" si="23"/>
        <v>0</v>
      </c>
      <c r="AP18" s="151">
        <v>573031</v>
      </c>
      <c r="AQ18" s="152">
        <v>577866</v>
      </c>
      <c r="AR18" s="152">
        <f t="shared" si="24"/>
        <v>573031</v>
      </c>
      <c r="AS18" s="153">
        <f t="shared" si="25"/>
        <v>577866</v>
      </c>
      <c r="AT18" s="147"/>
      <c r="AU18" s="148"/>
      <c r="AV18" s="148">
        <f t="shared" si="26"/>
        <v>0</v>
      </c>
      <c r="AW18" s="149">
        <f t="shared" si="27"/>
        <v>0</v>
      </c>
      <c r="AX18" s="154"/>
      <c r="AY18" s="155"/>
      <c r="AZ18" s="155">
        <f t="shared" si="28"/>
        <v>0</v>
      </c>
      <c r="BA18" s="156">
        <f t="shared" si="29"/>
        <v>0</v>
      </c>
      <c r="BB18" s="147"/>
      <c r="BC18" s="148"/>
      <c r="BD18" s="148">
        <f t="shared" si="30"/>
        <v>0</v>
      </c>
      <c r="BE18" s="149">
        <f t="shared" si="31"/>
        <v>0</v>
      </c>
      <c r="BF18" s="147"/>
      <c r="BG18" s="148"/>
      <c r="BH18" s="148">
        <f t="shared" si="32"/>
        <v>0</v>
      </c>
      <c r="BI18" s="149">
        <f t="shared" si="33"/>
        <v>0</v>
      </c>
      <c r="BJ18" s="147"/>
      <c r="BK18" s="148"/>
      <c r="BL18" s="148">
        <f t="shared" si="34"/>
        <v>0</v>
      </c>
      <c r="BM18" s="149">
        <f t="shared" si="35"/>
        <v>0</v>
      </c>
      <c r="BN18" s="147"/>
      <c r="BO18" s="148"/>
      <c r="BP18" s="148">
        <f t="shared" si="36"/>
        <v>0</v>
      </c>
      <c r="BQ18" s="148">
        <f t="shared" si="37"/>
        <v>0</v>
      </c>
      <c r="BR18" s="147"/>
      <c r="BS18" s="148"/>
      <c r="BT18" s="148">
        <f t="shared" si="46"/>
        <v>0</v>
      </c>
      <c r="BU18" s="149">
        <f t="shared" si="47"/>
        <v>0</v>
      </c>
      <c r="BV18" s="157"/>
      <c r="BW18" s="148"/>
      <c r="BX18" s="148"/>
      <c r="BY18" s="149"/>
      <c r="BZ18" s="331"/>
      <c r="CA18" s="325"/>
      <c r="CB18" s="329">
        <f t="shared" si="48"/>
        <v>0</v>
      </c>
      <c r="CC18" s="330">
        <f t="shared" si="49"/>
        <v>0</v>
      </c>
      <c r="CD18" s="323"/>
      <c r="CE18" s="173"/>
      <c r="CF18" s="173">
        <f t="shared" si="38"/>
        <v>0</v>
      </c>
      <c r="CG18" s="1608">
        <f t="shared" si="39"/>
        <v>0</v>
      </c>
      <c r="CH18" s="174"/>
      <c r="CI18" s="175"/>
      <c r="CJ18" s="175">
        <f t="shared" si="40"/>
        <v>0</v>
      </c>
      <c r="CK18" s="176">
        <f t="shared" si="41"/>
        <v>0</v>
      </c>
      <c r="CL18" s="151"/>
      <c r="CM18" s="152"/>
      <c r="CN18" s="152">
        <f t="shared" si="42"/>
        <v>0</v>
      </c>
      <c r="CO18" s="153">
        <f t="shared" si="43"/>
        <v>0</v>
      </c>
      <c r="CP18" s="177">
        <f t="shared" si="52"/>
        <v>573031</v>
      </c>
      <c r="CQ18" s="189">
        <f t="shared" si="2"/>
        <v>577866</v>
      </c>
      <c r="CR18" s="189">
        <f t="shared" si="2"/>
        <v>573031</v>
      </c>
      <c r="CS18" s="191">
        <f t="shared" si="2"/>
        <v>577866</v>
      </c>
      <c r="CT18" s="151"/>
      <c r="CU18" s="152"/>
      <c r="CV18" s="175">
        <f t="shared" si="44"/>
        <v>0</v>
      </c>
      <c r="CW18" s="176">
        <f t="shared" si="45"/>
        <v>0</v>
      </c>
      <c r="CX18" s="177">
        <f t="shared" si="51"/>
        <v>573031</v>
      </c>
      <c r="CY18" s="189">
        <f t="shared" si="3"/>
        <v>577866</v>
      </c>
      <c r="CZ18" s="189">
        <f t="shared" si="3"/>
        <v>573031</v>
      </c>
      <c r="DA18" s="191">
        <f t="shared" si="3"/>
        <v>577866</v>
      </c>
    </row>
    <row r="19" spans="1:105" s="144" customFormat="1" ht="15" thickBot="1">
      <c r="A19" s="179" t="s">
        <v>44</v>
      </c>
      <c r="B19" s="185"/>
      <c r="C19" s="145"/>
      <c r="D19" s="145">
        <f t="shared" si="4"/>
        <v>0</v>
      </c>
      <c r="E19" s="146">
        <f t="shared" si="5"/>
        <v>0</v>
      </c>
      <c r="F19" s="186"/>
      <c r="G19" s="148"/>
      <c r="H19" s="148">
        <f t="shared" si="6"/>
        <v>0</v>
      </c>
      <c r="I19" s="149">
        <f t="shared" si="7"/>
        <v>0</v>
      </c>
      <c r="J19" s="187"/>
      <c r="K19" s="152"/>
      <c r="L19" s="152">
        <f t="shared" si="8"/>
        <v>0</v>
      </c>
      <c r="M19" s="153">
        <f t="shared" si="9"/>
        <v>0</v>
      </c>
      <c r="N19" s="187"/>
      <c r="O19" s="152"/>
      <c r="P19" s="152">
        <f t="shared" si="10"/>
        <v>0</v>
      </c>
      <c r="Q19" s="153">
        <f t="shared" si="11"/>
        <v>0</v>
      </c>
      <c r="R19" s="187"/>
      <c r="S19" s="152"/>
      <c r="T19" s="152">
        <f t="shared" si="12"/>
        <v>0</v>
      </c>
      <c r="U19" s="153">
        <f t="shared" si="13"/>
        <v>0</v>
      </c>
      <c r="V19" s="187"/>
      <c r="W19" s="152"/>
      <c r="X19" s="152">
        <f t="shared" si="14"/>
        <v>0</v>
      </c>
      <c r="Y19" s="153">
        <f t="shared" si="15"/>
        <v>0</v>
      </c>
      <c r="Z19" s="187"/>
      <c r="AA19" s="152"/>
      <c r="AB19" s="187">
        <f t="shared" si="16"/>
        <v>0</v>
      </c>
      <c r="AC19" s="1605">
        <f t="shared" si="17"/>
        <v>0</v>
      </c>
      <c r="AD19" s="186"/>
      <c r="AE19" s="148"/>
      <c r="AF19" s="148">
        <f t="shared" si="18"/>
        <v>0</v>
      </c>
      <c r="AG19" s="149">
        <f t="shared" si="19"/>
        <v>0</v>
      </c>
      <c r="AH19" s="147"/>
      <c r="AI19" s="148"/>
      <c r="AJ19" s="148">
        <f t="shared" si="20"/>
        <v>0</v>
      </c>
      <c r="AK19" s="149">
        <f t="shared" si="21"/>
        <v>0</v>
      </c>
      <c r="AL19" s="147"/>
      <c r="AM19" s="148"/>
      <c r="AN19" s="148">
        <f t="shared" si="22"/>
        <v>0</v>
      </c>
      <c r="AO19" s="149">
        <f t="shared" si="23"/>
        <v>0</v>
      </c>
      <c r="AP19" s="151">
        <v>37259</v>
      </c>
      <c r="AQ19" s="152">
        <v>33910</v>
      </c>
      <c r="AR19" s="152">
        <f t="shared" si="24"/>
        <v>37259</v>
      </c>
      <c r="AS19" s="153">
        <f t="shared" si="25"/>
        <v>33910</v>
      </c>
      <c r="AT19" s="147"/>
      <c r="AU19" s="148"/>
      <c r="AV19" s="148">
        <f t="shared" si="26"/>
        <v>0</v>
      </c>
      <c r="AW19" s="149">
        <f t="shared" si="27"/>
        <v>0</v>
      </c>
      <c r="AX19" s="154"/>
      <c r="AY19" s="155"/>
      <c r="AZ19" s="155">
        <f t="shared" si="28"/>
        <v>0</v>
      </c>
      <c r="BA19" s="156">
        <f t="shared" si="29"/>
        <v>0</v>
      </c>
      <c r="BB19" s="147"/>
      <c r="BC19" s="148"/>
      <c r="BD19" s="148">
        <f t="shared" si="30"/>
        <v>0</v>
      </c>
      <c r="BE19" s="149">
        <f t="shared" si="31"/>
        <v>0</v>
      </c>
      <c r="BF19" s="147"/>
      <c r="BG19" s="148"/>
      <c r="BH19" s="148">
        <f t="shared" si="32"/>
        <v>0</v>
      </c>
      <c r="BI19" s="149">
        <f t="shared" si="33"/>
        <v>0</v>
      </c>
      <c r="BJ19" s="147"/>
      <c r="BK19" s="148"/>
      <c r="BL19" s="148">
        <f t="shared" si="34"/>
        <v>0</v>
      </c>
      <c r="BM19" s="149">
        <f t="shared" si="35"/>
        <v>0</v>
      </c>
      <c r="BN19" s="147"/>
      <c r="BO19" s="148"/>
      <c r="BP19" s="148">
        <f t="shared" si="36"/>
        <v>0</v>
      </c>
      <c r="BQ19" s="148">
        <f t="shared" si="37"/>
        <v>0</v>
      </c>
      <c r="BR19" s="147"/>
      <c r="BS19" s="148"/>
      <c r="BT19" s="148">
        <f t="shared" si="46"/>
        <v>0</v>
      </c>
      <c r="BU19" s="149">
        <f t="shared" si="47"/>
        <v>0</v>
      </c>
      <c r="BV19" s="157"/>
      <c r="BW19" s="148"/>
      <c r="BX19" s="148"/>
      <c r="BY19" s="149"/>
      <c r="BZ19" s="331"/>
      <c r="CA19" s="325"/>
      <c r="CB19" s="329">
        <f t="shared" si="48"/>
        <v>0</v>
      </c>
      <c r="CC19" s="330">
        <f t="shared" si="49"/>
        <v>0</v>
      </c>
      <c r="CD19" s="323"/>
      <c r="CE19" s="173"/>
      <c r="CF19" s="173">
        <f t="shared" si="38"/>
        <v>0</v>
      </c>
      <c r="CG19" s="1608">
        <f t="shared" si="39"/>
        <v>0</v>
      </c>
      <c r="CH19" s="174"/>
      <c r="CI19" s="175"/>
      <c r="CJ19" s="175">
        <f t="shared" si="40"/>
        <v>0</v>
      </c>
      <c r="CK19" s="176">
        <f t="shared" si="41"/>
        <v>0</v>
      </c>
      <c r="CL19" s="151"/>
      <c r="CM19" s="152"/>
      <c r="CN19" s="152">
        <f t="shared" si="42"/>
        <v>0</v>
      </c>
      <c r="CO19" s="153">
        <f t="shared" si="43"/>
        <v>0</v>
      </c>
      <c r="CP19" s="177">
        <f t="shared" si="52"/>
        <v>37259</v>
      </c>
      <c r="CQ19" s="189">
        <f t="shared" si="2"/>
        <v>33910</v>
      </c>
      <c r="CR19" s="189">
        <f t="shared" si="2"/>
        <v>37259</v>
      </c>
      <c r="CS19" s="191">
        <f t="shared" si="2"/>
        <v>33910</v>
      </c>
      <c r="CT19" s="151"/>
      <c r="CU19" s="152"/>
      <c r="CV19" s="175">
        <f t="shared" si="44"/>
        <v>0</v>
      </c>
      <c r="CW19" s="176">
        <f t="shared" si="45"/>
        <v>0</v>
      </c>
      <c r="CX19" s="177">
        <f t="shared" si="51"/>
        <v>37259</v>
      </c>
      <c r="CY19" s="189">
        <f t="shared" si="3"/>
        <v>33910</v>
      </c>
      <c r="CZ19" s="189">
        <f t="shared" si="3"/>
        <v>37259</v>
      </c>
      <c r="DA19" s="191">
        <f t="shared" si="3"/>
        <v>33910</v>
      </c>
    </row>
    <row r="20" spans="1:105" s="144" customFormat="1" ht="15" thickBot="1">
      <c r="A20" s="179" t="s">
        <v>45</v>
      </c>
      <c r="B20" s="185"/>
      <c r="C20" s="145"/>
      <c r="D20" s="145">
        <f t="shared" si="4"/>
        <v>0</v>
      </c>
      <c r="E20" s="146">
        <f t="shared" si="5"/>
        <v>0</v>
      </c>
      <c r="F20" s="186"/>
      <c r="G20" s="148"/>
      <c r="H20" s="148">
        <f t="shared" si="6"/>
        <v>0</v>
      </c>
      <c r="I20" s="149">
        <f t="shared" si="7"/>
        <v>0</v>
      </c>
      <c r="J20" s="187"/>
      <c r="K20" s="152"/>
      <c r="L20" s="152">
        <f t="shared" si="8"/>
        <v>0</v>
      </c>
      <c r="M20" s="153">
        <f t="shared" si="9"/>
        <v>0</v>
      </c>
      <c r="N20" s="187">
        <v>396039</v>
      </c>
      <c r="O20" s="152">
        <v>72320</v>
      </c>
      <c r="P20" s="152">
        <f t="shared" si="10"/>
        <v>396039</v>
      </c>
      <c r="Q20" s="153">
        <f t="shared" si="11"/>
        <v>72320</v>
      </c>
      <c r="R20" s="187"/>
      <c r="S20" s="152"/>
      <c r="T20" s="152">
        <f t="shared" si="12"/>
        <v>0</v>
      </c>
      <c r="U20" s="153">
        <f t="shared" si="13"/>
        <v>0</v>
      </c>
      <c r="V20" s="187"/>
      <c r="W20" s="152"/>
      <c r="X20" s="152">
        <f t="shared" si="14"/>
        <v>0</v>
      </c>
      <c r="Y20" s="153">
        <f t="shared" si="15"/>
        <v>0</v>
      </c>
      <c r="Z20" s="187">
        <v>4920</v>
      </c>
      <c r="AA20" s="152">
        <v>2491</v>
      </c>
      <c r="AB20" s="187">
        <f t="shared" si="16"/>
        <v>4920</v>
      </c>
      <c r="AC20" s="1605">
        <f t="shared" si="17"/>
        <v>2491</v>
      </c>
      <c r="AD20" s="186"/>
      <c r="AE20" s="148">
        <v>462</v>
      </c>
      <c r="AF20" s="148">
        <f t="shared" si="18"/>
        <v>0</v>
      </c>
      <c r="AG20" s="149">
        <f t="shared" si="19"/>
        <v>462</v>
      </c>
      <c r="AH20" s="147"/>
      <c r="AI20" s="148"/>
      <c r="AJ20" s="148">
        <f t="shared" si="20"/>
        <v>0</v>
      </c>
      <c r="AK20" s="149">
        <f t="shared" si="21"/>
        <v>0</v>
      </c>
      <c r="AL20" s="147"/>
      <c r="AM20" s="148"/>
      <c r="AN20" s="148">
        <f t="shared" si="22"/>
        <v>0</v>
      </c>
      <c r="AO20" s="149">
        <f t="shared" si="23"/>
        <v>0</v>
      </c>
      <c r="AP20" s="151">
        <v>97816</v>
      </c>
      <c r="AQ20" s="152">
        <v>103972</v>
      </c>
      <c r="AR20" s="152">
        <f t="shared" si="24"/>
        <v>97816</v>
      </c>
      <c r="AS20" s="153">
        <f t="shared" si="25"/>
        <v>103972</v>
      </c>
      <c r="AT20" s="147">
        <v>77899</v>
      </c>
      <c r="AU20" s="148">
        <v>131451</v>
      </c>
      <c r="AV20" s="148">
        <f t="shared" si="26"/>
        <v>77899</v>
      </c>
      <c r="AW20" s="149">
        <f t="shared" si="27"/>
        <v>131451</v>
      </c>
      <c r="AX20" s="154"/>
      <c r="AY20" s="155"/>
      <c r="AZ20" s="155">
        <f t="shared" si="28"/>
        <v>0</v>
      </c>
      <c r="BA20" s="156">
        <f t="shared" si="29"/>
        <v>0</v>
      </c>
      <c r="BB20" s="147"/>
      <c r="BC20" s="148"/>
      <c r="BD20" s="148">
        <f t="shared" si="30"/>
        <v>0</v>
      </c>
      <c r="BE20" s="149">
        <f t="shared" si="31"/>
        <v>0</v>
      </c>
      <c r="BF20" s="147"/>
      <c r="BG20" s="148"/>
      <c r="BH20" s="148">
        <f t="shared" si="32"/>
        <v>0</v>
      </c>
      <c r="BI20" s="149">
        <f t="shared" si="33"/>
        <v>0</v>
      </c>
      <c r="BJ20" s="147"/>
      <c r="BK20" s="148"/>
      <c r="BL20" s="148">
        <f t="shared" si="34"/>
        <v>0</v>
      </c>
      <c r="BM20" s="149">
        <f t="shared" si="35"/>
        <v>0</v>
      </c>
      <c r="BN20" s="147">
        <v>37410</v>
      </c>
      <c r="BO20" s="148">
        <v>32698</v>
      </c>
      <c r="BP20" s="148">
        <f t="shared" si="36"/>
        <v>37410</v>
      </c>
      <c r="BQ20" s="148">
        <f t="shared" si="37"/>
        <v>32698</v>
      </c>
      <c r="BR20" s="147"/>
      <c r="BS20" s="148"/>
      <c r="BT20" s="148">
        <f t="shared" si="46"/>
        <v>0</v>
      </c>
      <c r="BU20" s="149">
        <f t="shared" si="47"/>
        <v>0</v>
      </c>
      <c r="BV20" s="157"/>
      <c r="BW20" s="148"/>
      <c r="BX20" s="148"/>
      <c r="BY20" s="149"/>
      <c r="BZ20" s="331">
        <v>53980</v>
      </c>
      <c r="CA20" s="325">
        <v>94304</v>
      </c>
      <c r="CB20" s="329">
        <f t="shared" si="48"/>
        <v>53980</v>
      </c>
      <c r="CC20" s="330">
        <f t="shared" si="49"/>
        <v>94304</v>
      </c>
      <c r="CD20" s="323"/>
      <c r="CE20" s="173"/>
      <c r="CF20" s="173">
        <f t="shared" si="38"/>
        <v>0</v>
      </c>
      <c r="CG20" s="1608">
        <f t="shared" si="39"/>
        <v>0</v>
      </c>
      <c r="CH20" s="174"/>
      <c r="CI20" s="175"/>
      <c r="CJ20" s="175">
        <f t="shared" si="40"/>
        <v>0</v>
      </c>
      <c r="CK20" s="176">
        <f t="shared" si="41"/>
        <v>0</v>
      </c>
      <c r="CL20" s="151">
        <v>18993</v>
      </c>
      <c r="CM20" s="152">
        <v>22118</v>
      </c>
      <c r="CN20" s="152">
        <f t="shared" si="42"/>
        <v>18993</v>
      </c>
      <c r="CO20" s="153">
        <f t="shared" si="43"/>
        <v>22118</v>
      </c>
      <c r="CP20" s="177">
        <f t="shared" si="52"/>
        <v>687057</v>
      </c>
      <c r="CQ20" s="189">
        <f t="shared" si="2"/>
        <v>459816</v>
      </c>
      <c r="CR20" s="189">
        <f t="shared" si="2"/>
        <v>687057</v>
      </c>
      <c r="CS20" s="191">
        <f t="shared" si="2"/>
        <v>459816</v>
      </c>
      <c r="CT20" s="151"/>
      <c r="CU20" s="152"/>
      <c r="CV20" s="175">
        <f t="shared" si="44"/>
        <v>0</v>
      </c>
      <c r="CW20" s="176">
        <f t="shared" si="45"/>
        <v>0</v>
      </c>
      <c r="CX20" s="177">
        <f t="shared" si="51"/>
        <v>687057</v>
      </c>
      <c r="CY20" s="189">
        <f t="shared" si="3"/>
        <v>459816</v>
      </c>
      <c r="CZ20" s="189">
        <f t="shared" si="3"/>
        <v>687057</v>
      </c>
      <c r="DA20" s="191">
        <f t="shared" si="3"/>
        <v>459816</v>
      </c>
    </row>
    <row r="21" spans="1:105" s="144" customFormat="1" ht="15" thickBot="1">
      <c r="A21" s="179" t="s">
        <v>46</v>
      </c>
      <c r="B21" s="185"/>
      <c r="C21" s="145"/>
      <c r="D21" s="145">
        <f t="shared" si="4"/>
        <v>0</v>
      </c>
      <c r="E21" s="146">
        <f t="shared" si="5"/>
        <v>0</v>
      </c>
      <c r="F21" s="186"/>
      <c r="G21" s="148"/>
      <c r="H21" s="148">
        <f t="shared" si="6"/>
        <v>0</v>
      </c>
      <c r="I21" s="149">
        <f t="shared" si="7"/>
        <v>0</v>
      </c>
      <c r="J21" s="187"/>
      <c r="K21" s="152"/>
      <c r="L21" s="152">
        <f t="shared" si="8"/>
        <v>0</v>
      </c>
      <c r="M21" s="153">
        <f t="shared" si="9"/>
        <v>0</v>
      </c>
      <c r="N21" s="187"/>
      <c r="O21" s="152"/>
      <c r="P21" s="152">
        <f t="shared" si="10"/>
        <v>0</v>
      </c>
      <c r="Q21" s="153">
        <f t="shared" si="11"/>
        <v>0</v>
      </c>
      <c r="R21" s="187"/>
      <c r="S21" s="152"/>
      <c r="T21" s="152">
        <f t="shared" si="12"/>
        <v>0</v>
      </c>
      <c r="U21" s="153">
        <f t="shared" si="13"/>
        <v>0</v>
      </c>
      <c r="V21" s="187"/>
      <c r="W21" s="152"/>
      <c r="X21" s="152">
        <f t="shared" si="14"/>
        <v>0</v>
      </c>
      <c r="Y21" s="153">
        <f t="shared" si="15"/>
        <v>0</v>
      </c>
      <c r="Z21" s="187">
        <v>565</v>
      </c>
      <c r="AA21" s="152">
        <v>2046</v>
      </c>
      <c r="AB21" s="187">
        <f t="shared" si="16"/>
        <v>565</v>
      </c>
      <c r="AC21" s="1605">
        <f t="shared" si="17"/>
        <v>2046</v>
      </c>
      <c r="AD21" s="186"/>
      <c r="AE21" s="148"/>
      <c r="AF21" s="148">
        <f t="shared" si="18"/>
        <v>0</v>
      </c>
      <c r="AG21" s="149">
        <f t="shared" si="19"/>
        <v>0</v>
      </c>
      <c r="AH21" s="147"/>
      <c r="AI21" s="148"/>
      <c r="AJ21" s="148">
        <f t="shared" si="20"/>
        <v>0</v>
      </c>
      <c r="AK21" s="149">
        <f t="shared" si="21"/>
        <v>0</v>
      </c>
      <c r="AL21" s="147">
        <v>1161</v>
      </c>
      <c r="AM21" s="148">
        <v>773</v>
      </c>
      <c r="AN21" s="148">
        <f t="shared" si="22"/>
        <v>1161</v>
      </c>
      <c r="AO21" s="149">
        <f t="shared" si="23"/>
        <v>773</v>
      </c>
      <c r="AP21" s="151"/>
      <c r="AQ21" s="152"/>
      <c r="AR21" s="152">
        <f t="shared" si="24"/>
        <v>0</v>
      </c>
      <c r="AS21" s="153">
        <f t="shared" si="25"/>
        <v>0</v>
      </c>
      <c r="AT21" s="147"/>
      <c r="AU21" s="148"/>
      <c r="AV21" s="148">
        <f t="shared" si="26"/>
        <v>0</v>
      </c>
      <c r="AW21" s="149">
        <f t="shared" si="27"/>
        <v>0</v>
      </c>
      <c r="AX21" s="154"/>
      <c r="AY21" s="155"/>
      <c r="AZ21" s="155">
        <f t="shared" si="28"/>
        <v>0</v>
      </c>
      <c r="BA21" s="156">
        <f t="shared" si="29"/>
        <v>0</v>
      </c>
      <c r="BB21" s="147">
        <v>1201</v>
      </c>
      <c r="BC21" s="148">
        <v>1768</v>
      </c>
      <c r="BD21" s="148">
        <f t="shared" si="30"/>
        <v>1201</v>
      </c>
      <c r="BE21" s="149">
        <f t="shared" si="31"/>
        <v>1768</v>
      </c>
      <c r="BF21" s="147"/>
      <c r="BG21" s="148"/>
      <c r="BH21" s="148">
        <f t="shared" si="32"/>
        <v>0</v>
      </c>
      <c r="BI21" s="149">
        <f t="shared" si="33"/>
        <v>0</v>
      </c>
      <c r="BJ21" s="147"/>
      <c r="BK21" s="148"/>
      <c r="BL21" s="148">
        <f t="shared" si="34"/>
        <v>0</v>
      </c>
      <c r="BM21" s="149">
        <f t="shared" si="35"/>
        <v>0</v>
      </c>
      <c r="BN21" s="147"/>
      <c r="BO21" s="148"/>
      <c r="BP21" s="148">
        <f t="shared" si="36"/>
        <v>0</v>
      </c>
      <c r="BQ21" s="148">
        <f t="shared" si="37"/>
        <v>0</v>
      </c>
      <c r="BR21" s="147">
        <v>2073</v>
      </c>
      <c r="BS21" s="148">
        <v>2168</v>
      </c>
      <c r="BT21" s="148">
        <f t="shared" si="46"/>
        <v>2073</v>
      </c>
      <c r="BU21" s="149">
        <f t="shared" si="47"/>
        <v>2168</v>
      </c>
      <c r="BV21" s="157"/>
      <c r="BW21" s="148"/>
      <c r="BX21" s="148"/>
      <c r="BY21" s="149"/>
      <c r="BZ21" s="331"/>
      <c r="CA21" s="325"/>
      <c r="CB21" s="329">
        <f t="shared" si="48"/>
        <v>0</v>
      </c>
      <c r="CC21" s="330">
        <f t="shared" si="49"/>
        <v>0</v>
      </c>
      <c r="CD21" s="323"/>
      <c r="CE21" s="173"/>
      <c r="CF21" s="173">
        <f t="shared" si="38"/>
        <v>0</v>
      </c>
      <c r="CG21" s="1608">
        <f t="shared" si="39"/>
        <v>0</v>
      </c>
      <c r="CH21" s="174"/>
      <c r="CI21" s="175"/>
      <c r="CJ21" s="175">
        <f t="shared" si="40"/>
        <v>0</v>
      </c>
      <c r="CK21" s="176">
        <f t="shared" si="41"/>
        <v>0</v>
      </c>
      <c r="CL21" s="151"/>
      <c r="CM21" s="152"/>
      <c r="CN21" s="152">
        <f t="shared" si="42"/>
        <v>0</v>
      </c>
      <c r="CO21" s="153">
        <f t="shared" si="43"/>
        <v>0</v>
      </c>
      <c r="CP21" s="177">
        <f t="shared" si="52"/>
        <v>5000</v>
      </c>
      <c r="CQ21" s="189">
        <f t="shared" si="2"/>
        <v>6755</v>
      </c>
      <c r="CR21" s="189">
        <f t="shared" si="2"/>
        <v>5000</v>
      </c>
      <c r="CS21" s="191">
        <f t="shared" si="2"/>
        <v>6755</v>
      </c>
      <c r="CT21" s="151"/>
      <c r="CU21" s="152"/>
      <c r="CV21" s="175">
        <f t="shared" si="44"/>
        <v>0</v>
      </c>
      <c r="CW21" s="176">
        <f t="shared" si="45"/>
        <v>0</v>
      </c>
      <c r="CX21" s="177">
        <f t="shared" si="51"/>
        <v>5000</v>
      </c>
      <c r="CY21" s="189">
        <f t="shared" si="3"/>
        <v>6755</v>
      </c>
      <c r="CZ21" s="189">
        <f t="shared" si="3"/>
        <v>5000</v>
      </c>
      <c r="DA21" s="191">
        <f t="shared" si="3"/>
        <v>6755</v>
      </c>
    </row>
    <row r="22" spans="1:105" s="144" customFormat="1" ht="15" thickBot="1">
      <c r="A22" s="179" t="s">
        <v>47</v>
      </c>
      <c r="B22" s="185"/>
      <c r="C22" s="145"/>
      <c r="D22" s="145">
        <f t="shared" si="4"/>
        <v>0</v>
      </c>
      <c r="E22" s="146">
        <f t="shared" si="5"/>
        <v>0</v>
      </c>
      <c r="F22" s="186"/>
      <c r="G22" s="148"/>
      <c r="H22" s="148">
        <f t="shared" si="6"/>
        <v>0</v>
      </c>
      <c r="I22" s="149">
        <f t="shared" si="7"/>
        <v>0</v>
      </c>
      <c r="J22" s="187"/>
      <c r="K22" s="152"/>
      <c r="L22" s="152">
        <f t="shared" si="8"/>
        <v>0</v>
      </c>
      <c r="M22" s="153">
        <f t="shared" si="9"/>
        <v>0</v>
      </c>
      <c r="N22" s="187">
        <v>40723</v>
      </c>
      <c r="O22" s="152">
        <v>35661</v>
      </c>
      <c r="P22" s="152">
        <f t="shared" si="10"/>
        <v>40723</v>
      </c>
      <c r="Q22" s="153">
        <f t="shared" si="11"/>
        <v>35661</v>
      </c>
      <c r="R22" s="187"/>
      <c r="S22" s="152"/>
      <c r="T22" s="152">
        <f t="shared" si="12"/>
        <v>0</v>
      </c>
      <c r="U22" s="153">
        <f t="shared" si="13"/>
        <v>0</v>
      </c>
      <c r="V22" s="187"/>
      <c r="W22" s="152"/>
      <c r="X22" s="152">
        <f t="shared" si="14"/>
        <v>0</v>
      </c>
      <c r="Y22" s="153">
        <f t="shared" si="15"/>
        <v>0</v>
      </c>
      <c r="Z22" s="187">
        <v>5164</v>
      </c>
      <c r="AA22" s="152"/>
      <c r="AB22" s="187">
        <f t="shared" si="16"/>
        <v>5164</v>
      </c>
      <c r="AC22" s="1605">
        <f t="shared" si="17"/>
        <v>0</v>
      </c>
      <c r="AD22" s="186"/>
      <c r="AE22" s="148"/>
      <c r="AF22" s="148">
        <f t="shared" si="18"/>
        <v>0</v>
      </c>
      <c r="AG22" s="149">
        <f t="shared" si="19"/>
        <v>0</v>
      </c>
      <c r="AH22" s="147"/>
      <c r="AI22" s="148"/>
      <c r="AJ22" s="148">
        <f t="shared" si="20"/>
        <v>0</v>
      </c>
      <c r="AK22" s="149">
        <f t="shared" si="21"/>
        <v>0</v>
      </c>
      <c r="AL22" s="147">
        <f>85173+10039+745</f>
        <v>95957</v>
      </c>
      <c r="AM22" s="193">
        <f>90850+53718+679</f>
        <v>145247</v>
      </c>
      <c r="AN22" s="148">
        <f t="shared" si="22"/>
        <v>95957</v>
      </c>
      <c r="AO22" s="149">
        <f t="shared" si="23"/>
        <v>145247</v>
      </c>
      <c r="AP22" s="151"/>
      <c r="AQ22" s="152"/>
      <c r="AR22" s="152">
        <f t="shared" si="24"/>
        <v>0</v>
      </c>
      <c r="AS22" s="153">
        <f t="shared" si="25"/>
        <v>0</v>
      </c>
      <c r="AT22" s="147"/>
      <c r="AU22" s="148"/>
      <c r="AV22" s="148">
        <f t="shared" si="26"/>
        <v>0</v>
      </c>
      <c r="AW22" s="149">
        <f t="shared" si="27"/>
        <v>0</v>
      </c>
      <c r="AX22" s="154">
        <v>576</v>
      </c>
      <c r="AY22" s="155">
        <v>182</v>
      </c>
      <c r="AZ22" s="155">
        <f t="shared" si="28"/>
        <v>576</v>
      </c>
      <c r="BA22" s="156">
        <f t="shared" si="29"/>
        <v>182</v>
      </c>
      <c r="BB22" s="147"/>
      <c r="BC22" s="148"/>
      <c r="BD22" s="148">
        <f t="shared" si="30"/>
        <v>0</v>
      </c>
      <c r="BE22" s="149">
        <f t="shared" si="31"/>
        <v>0</v>
      </c>
      <c r="BF22" s="147">
        <v>3786</v>
      </c>
      <c r="BG22" s="148">
        <v>12546</v>
      </c>
      <c r="BH22" s="148">
        <f t="shared" si="32"/>
        <v>3786</v>
      </c>
      <c r="BI22" s="149">
        <f t="shared" si="33"/>
        <v>12546</v>
      </c>
      <c r="BJ22" s="147">
        <v>50985</v>
      </c>
      <c r="BK22" s="148">
        <v>45407</v>
      </c>
      <c r="BL22" s="148">
        <f t="shared" si="34"/>
        <v>50985</v>
      </c>
      <c r="BM22" s="149">
        <f t="shared" si="35"/>
        <v>45407</v>
      </c>
      <c r="BN22" s="147"/>
      <c r="BO22" s="148"/>
      <c r="BP22" s="148">
        <f t="shared" si="36"/>
        <v>0</v>
      </c>
      <c r="BQ22" s="148">
        <f t="shared" si="37"/>
        <v>0</v>
      </c>
      <c r="BR22" s="147">
        <v>58758</v>
      </c>
      <c r="BS22" s="148">
        <v>84401</v>
      </c>
      <c r="BT22" s="148">
        <f t="shared" si="46"/>
        <v>58758</v>
      </c>
      <c r="BU22" s="149">
        <f t="shared" si="47"/>
        <v>84401</v>
      </c>
      <c r="BV22" s="157"/>
      <c r="BW22" s="148"/>
      <c r="BX22" s="148"/>
      <c r="BY22" s="149"/>
      <c r="BZ22" s="331">
        <v>3118</v>
      </c>
      <c r="CA22" s="325">
        <v>2627</v>
      </c>
      <c r="CB22" s="329">
        <f t="shared" si="48"/>
        <v>3118</v>
      </c>
      <c r="CC22" s="330">
        <f t="shared" si="49"/>
        <v>2627</v>
      </c>
      <c r="CD22" s="323">
        <v>4905</v>
      </c>
      <c r="CE22" s="173">
        <v>-20260</v>
      </c>
      <c r="CF22" s="173">
        <f t="shared" si="38"/>
        <v>4905</v>
      </c>
      <c r="CG22" s="1608">
        <f t="shared" si="39"/>
        <v>-20260</v>
      </c>
      <c r="CH22" s="174">
        <f>29820+1310+108+1881+3185</f>
        <v>36304</v>
      </c>
      <c r="CI22" s="175">
        <f>16092+3031+357+910</f>
        <v>20390</v>
      </c>
      <c r="CJ22" s="175">
        <f t="shared" si="40"/>
        <v>36304</v>
      </c>
      <c r="CK22" s="176">
        <f t="shared" si="41"/>
        <v>20390</v>
      </c>
      <c r="CL22" s="151">
        <v>268070</v>
      </c>
      <c r="CM22" s="152">
        <v>290943</v>
      </c>
      <c r="CN22" s="152">
        <f t="shared" si="42"/>
        <v>268070</v>
      </c>
      <c r="CO22" s="153">
        <f t="shared" si="43"/>
        <v>290943</v>
      </c>
      <c r="CP22" s="177">
        <f t="shared" si="52"/>
        <v>568346</v>
      </c>
      <c r="CQ22" s="189">
        <f>SUM(C22+G22+K22+O22+S22+W22+AA22+AE22+AI22+AM22+AQ22+AU22+AY22+BC22+BG22+BK22+BO22+BS22+BW22+CA22+CE22+CI22+CM22)</f>
        <v>617144</v>
      </c>
      <c r="CR22" s="189">
        <f>SUM(D22+H22+L22+P22+T22+X22+AB22+AF22+AJ22+AN22+AR22+AV22+AZ22+BD22+BH22+BL22+BP22+BT22+BX22+CB22+CF22+CJ22+CN22)</f>
        <v>568346</v>
      </c>
      <c r="CS22" s="191">
        <f>SUM(E22+I22+M22+Q22+U22+Y22+AC22+AG22+AK22+AO22+AS22+AW22+BA22+BE22+BI22+BM22+BQ22+BU22+BY22+CC22+CG22+CK22+CO22)</f>
        <v>617144</v>
      </c>
      <c r="CT22" s="151">
        <v>1891571</v>
      </c>
      <c r="CU22" s="152">
        <v>64274</v>
      </c>
      <c r="CV22" s="175">
        <f t="shared" si="44"/>
        <v>1891571</v>
      </c>
      <c r="CW22" s="176">
        <f t="shared" si="45"/>
        <v>64274</v>
      </c>
      <c r="CX22" s="177">
        <f t="shared" si="51"/>
        <v>2459917</v>
      </c>
      <c r="CY22" s="189">
        <f>CQ22+CU22</f>
        <v>681418</v>
      </c>
      <c r="CZ22" s="189">
        <f>CR22+CV22</f>
        <v>2459917</v>
      </c>
      <c r="DA22" s="191">
        <f>CS22+CW22</f>
        <v>681418</v>
      </c>
    </row>
    <row r="23" spans="1:105" s="144" customFormat="1" ht="15" thickBot="1">
      <c r="A23" s="179" t="s">
        <v>48</v>
      </c>
      <c r="B23" s="185"/>
      <c r="C23" s="145"/>
      <c r="D23" s="145">
        <f t="shared" si="4"/>
        <v>0</v>
      </c>
      <c r="E23" s="146">
        <f t="shared" si="5"/>
        <v>0</v>
      </c>
      <c r="F23" s="186"/>
      <c r="G23" s="148"/>
      <c r="H23" s="148">
        <f t="shared" si="6"/>
        <v>0</v>
      </c>
      <c r="I23" s="149">
        <f t="shared" si="7"/>
        <v>0</v>
      </c>
      <c r="J23" s="187"/>
      <c r="K23" s="152"/>
      <c r="L23" s="152">
        <f t="shared" si="8"/>
        <v>0</v>
      </c>
      <c r="M23" s="153">
        <f t="shared" si="9"/>
        <v>0</v>
      </c>
      <c r="N23" s="187"/>
      <c r="O23" s="152"/>
      <c r="P23" s="152">
        <f t="shared" si="10"/>
        <v>0</v>
      </c>
      <c r="Q23" s="153">
        <f t="shared" si="11"/>
        <v>0</v>
      </c>
      <c r="R23" s="187"/>
      <c r="S23" s="152"/>
      <c r="T23" s="152">
        <f t="shared" si="12"/>
        <v>0</v>
      </c>
      <c r="U23" s="153">
        <f t="shared" si="13"/>
        <v>0</v>
      </c>
      <c r="V23" s="187"/>
      <c r="W23" s="152"/>
      <c r="X23" s="152">
        <f t="shared" si="14"/>
        <v>0</v>
      </c>
      <c r="Y23" s="153">
        <f t="shared" si="15"/>
        <v>0</v>
      </c>
      <c r="Z23" s="187"/>
      <c r="AA23" s="152"/>
      <c r="AB23" s="187">
        <f t="shared" si="16"/>
        <v>0</v>
      </c>
      <c r="AC23" s="1605">
        <f t="shared" si="17"/>
        <v>0</v>
      </c>
      <c r="AD23" s="186"/>
      <c r="AE23" s="148"/>
      <c r="AF23" s="148">
        <f t="shared" si="18"/>
        <v>0</v>
      </c>
      <c r="AG23" s="149">
        <f t="shared" si="19"/>
        <v>0</v>
      </c>
      <c r="AH23" s="147"/>
      <c r="AI23" s="148"/>
      <c r="AJ23" s="148">
        <f t="shared" si="20"/>
        <v>0</v>
      </c>
      <c r="AK23" s="149">
        <f t="shared" si="21"/>
        <v>0</v>
      </c>
      <c r="AL23" s="147"/>
      <c r="AM23" s="148"/>
      <c r="AN23" s="148">
        <f t="shared" si="22"/>
        <v>0</v>
      </c>
      <c r="AO23" s="149">
        <f t="shared" si="23"/>
        <v>0</v>
      </c>
      <c r="AP23" s="151"/>
      <c r="AQ23" s="152"/>
      <c r="AR23" s="152">
        <f t="shared" si="24"/>
        <v>0</v>
      </c>
      <c r="AS23" s="153">
        <f t="shared" si="25"/>
        <v>0</v>
      </c>
      <c r="AT23" s="147"/>
      <c r="AU23" s="148"/>
      <c r="AV23" s="148">
        <f t="shared" si="26"/>
        <v>0</v>
      </c>
      <c r="AW23" s="149">
        <f t="shared" si="27"/>
        <v>0</v>
      </c>
      <c r="AX23" s="154"/>
      <c r="AY23" s="155"/>
      <c r="AZ23" s="155">
        <f t="shared" si="28"/>
        <v>0</v>
      </c>
      <c r="BA23" s="156">
        <f t="shared" si="29"/>
        <v>0</v>
      </c>
      <c r="BB23" s="147"/>
      <c r="BC23" s="148"/>
      <c r="BD23" s="148">
        <f t="shared" si="30"/>
        <v>0</v>
      </c>
      <c r="BE23" s="149">
        <f t="shared" si="31"/>
        <v>0</v>
      </c>
      <c r="BF23" s="147"/>
      <c r="BG23" s="148"/>
      <c r="BH23" s="148">
        <f t="shared" si="32"/>
        <v>0</v>
      </c>
      <c r="BI23" s="149">
        <f t="shared" si="33"/>
        <v>0</v>
      </c>
      <c r="BJ23" s="147"/>
      <c r="BK23" s="148"/>
      <c r="BL23" s="148">
        <f t="shared" si="34"/>
        <v>0</v>
      </c>
      <c r="BM23" s="149">
        <f t="shared" si="35"/>
        <v>0</v>
      </c>
      <c r="BN23" s="147"/>
      <c r="BO23" s="148"/>
      <c r="BP23" s="148">
        <f t="shared" si="36"/>
        <v>0</v>
      </c>
      <c r="BQ23" s="148">
        <f t="shared" si="37"/>
        <v>0</v>
      </c>
      <c r="BR23" s="147"/>
      <c r="BS23" s="148"/>
      <c r="BT23" s="148">
        <f t="shared" si="46"/>
        <v>0</v>
      </c>
      <c r="BU23" s="149">
        <f t="shared" si="47"/>
        <v>0</v>
      </c>
      <c r="BV23" s="157"/>
      <c r="BW23" s="148"/>
      <c r="BX23" s="148"/>
      <c r="BY23" s="149"/>
      <c r="BZ23" s="151"/>
      <c r="CA23" s="152"/>
      <c r="CB23" s="329">
        <f t="shared" si="48"/>
        <v>0</v>
      </c>
      <c r="CC23" s="330">
        <f t="shared" si="49"/>
        <v>0</v>
      </c>
      <c r="CD23" s="323"/>
      <c r="CE23" s="173"/>
      <c r="CF23" s="173">
        <f t="shared" si="38"/>
        <v>0</v>
      </c>
      <c r="CG23" s="1608">
        <f t="shared" si="39"/>
        <v>0</v>
      </c>
      <c r="CH23" s="174"/>
      <c r="CI23" s="175"/>
      <c r="CJ23" s="175">
        <f t="shared" si="40"/>
        <v>0</v>
      </c>
      <c r="CK23" s="176">
        <f t="shared" si="41"/>
        <v>0</v>
      </c>
      <c r="CL23" s="151"/>
      <c r="CM23" s="152"/>
      <c r="CN23" s="152">
        <f t="shared" si="42"/>
        <v>0</v>
      </c>
      <c r="CO23" s="153">
        <f t="shared" si="43"/>
        <v>0</v>
      </c>
      <c r="CP23" s="177"/>
      <c r="CQ23" s="189"/>
      <c r="CR23" s="189"/>
      <c r="CS23" s="191"/>
      <c r="CT23" s="151"/>
      <c r="CU23" s="152"/>
      <c r="CV23" s="175">
        <f t="shared" si="44"/>
        <v>0</v>
      </c>
      <c r="CW23" s="176">
        <f t="shared" si="45"/>
        <v>0</v>
      </c>
      <c r="CX23" s="177"/>
      <c r="CY23" s="189"/>
      <c r="CZ23" s="189"/>
      <c r="DA23" s="191"/>
    </row>
    <row r="24" spans="1:105" s="144" customFormat="1" ht="15" thickBot="1">
      <c r="A24" s="179" t="s">
        <v>31</v>
      </c>
      <c r="B24" s="194">
        <v>-857209</v>
      </c>
      <c r="C24" s="195">
        <v>-339502</v>
      </c>
      <c r="D24" s="145">
        <f t="shared" si="4"/>
        <v>-857209</v>
      </c>
      <c r="E24" s="146">
        <f t="shared" si="5"/>
        <v>-339502</v>
      </c>
      <c r="F24" s="196">
        <v>-198095</v>
      </c>
      <c r="G24" s="164">
        <v>-157096</v>
      </c>
      <c r="H24" s="148">
        <f t="shared" si="6"/>
        <v>-198095</v>
      </c>
      <c r="I24" s="149">
        <f t="shared" si="7"/>
        <v>-157096</v>
      </c>
      <c r="J24" s="189">
        <v>-108362</v>
      </c>
      <c r="K24" s="181">
        <v>-97643</v>
      </c>
      <c r="L24" s="152">
        <f t="shared" si="8"/>
        <v>-108362</v>
      </c>
      <c r="M24" s="153">
        <f t="shared" si="9"/>
        <v>-97643</v>
      </c>
      <c r="N24" s="189">
        <v>-121023</v>
      </c>
      <c r="O24" s="181">
        <v>-176859</v>
      </c>
      <c r="P24" s="152">
        <f t="shared" si="10"/>
        <v>-121023</v>
      </c>
      <c r="Q24" s="153">
        <f t="shared" si="11"/>
        <v>-176859</v>
      </c>
      <c r="R24" s="189">
        <v>-66916</v>
      </c>
      <c r="S24" s="181">
        <v>-46399</v>
      </c>
      <c r="T24" s="152">
        <f t="shared" si="12"/>
        <v>-66916</v>
      </c>
      <c r="U24" s="153">
        <f t="shared" si="13"/>
        <v>-46399</v>
      </c>
      <c r="V24" s="189">
        <v>-153338</v>
      </c>
      <c r="W24" s="181">
        <v>-92216</v>
      </c>
      <c r="X24" s="152">
        <f t="shared" si="14"/>
        <v>-153338</v>
      </c>
      <c r="Y24" s="153">
        <f t="shared" si="15"/>
        <v>-92216</v>
      </c>
      <c r="Z24" s="189">
        <v>-367249</v>
      </c>
      <c r="AA24" s="181">
        <v>-296196</v>
      </c>
      <c r="AB24" s="187">
        <f t="shared" si="16"/>
        <v>-367249</v>
      </c>
      <c r="AC24" s="1605">
        <f t="shared" si="17"/>
        <v>-296196</v>
      </c>
      <c r="AD24" s="196">
        <v>-46966</v>
      </c>
      <c r="AE24" s="164">
        <v>-20203</v>
      </c>
      <c r="AF24" s="148">
        <f t="shared" si="18"/>
        <v>-46966</v>
      </c>
      <c r="AG24" s="149">
        <f t="shared" si="19"/>
        <v>-20203</v>
      </c>
      <c r="AH24" s="160">
        <v>-116395</v>
      </c>
      <c r="AI24" s="164">
        <v>-177168</v>
      </c>
      <c r="AJ24" s="148">
        <f t="shared" si="20"/>
        <v>-116395</v>
      </c>
      <c r="AK24" s="149">
        <f t="shared" si="21"/>
        <v>-177168</v>
      </c>
      <c r="AL24" s="160">
        <v>-139011</v>
      </c>
      <c r="AM24" s="164">
        <v>-60533</v>
      </c>
      <c r="AN24" s="148">
        <f t="shared" si="22"/>
        <v>-139011</v>
      </c>
      <c r="AO24" s="149">
        <f t="shared" si="23"/>
        <v>-60533</v>
      </c>
      <c r="AP24" s="177">
        <v>-682574</v>
      </c>
      <c r="AQ24" s="181">
        <v>-444369</v>
      </c>
      <c r="AR24" s="152">
        <f t="shared" si="24"/>
        <v>-682574</v>
      </c>
      <c r="AS24" s="153">
        <f t="shared" si="25"/>
        <v>-444369</v>
      </c>
      <c r="AT24" s="160">
        <v>-1357392</v>
      </c>
      <c r="AU24" s="164">
        <v>-745913</v>
      </c>
      <c r="AV24" s="148">
        <f t="shared" si="26"/>
        <v>-1357392</v>
      </c>
      <c r="AW24" s="149">
        <f t="shared" si="27"/>
        <v>-745913</v>
      </c>
      <c r="AX24" s="154">
        <v>-1066</v>
      </c>
      <c r="AY24" s="155">
        <v>-13276</v>
      </c>
      <c r="AZ24" s="155">
        <f t="shared" si="28"/>
        <v>-1066</v>
      </c>
      <c r="BA24" s="156">
        <f t="shared" si="29"/>
        <v>-13276</v>
      </c>
      <c r="BB24" s="160">
        <v>-179485</v>
      </c>
      <c r="BC24" s="164">
        <v>-170867</v>
      </c>
      <c r="BD24" s="148">
        <f t="shared" si="30"/>
        <v>-179485</v>
      </c>
      <c r="BE24" s="149">
        <f t="shared" si="31"/>
        <v>-170867</v>
      </c>
      <c r="BF24" s="197">
        <v>-224548</v>
      </c>
      <c r="BG24" s="198">
        <v>-217002</v>
      </c>
      <c r="BH24" s="148">
        <f t="shared" si="32"/>
        <v>-224548</v>
      </c>
      <c r="BI24" s="149">
        <f t="shared" si="33"/>
        <v>-217002</v>
      </c>
      <c r="BJ24" s="160">
        <v>-279387</v>
      </c>
      <c r="BK24" s="164">
        <v>-182788</v>
      </c>
      <c r="BL24" s="148">
        <f t="shared" si="34"/>
        <v>-279387</v>
      </c>
      <c r="BM24" s="149">
        <f t="shared" si="35"/>
        <v>-182788</v>
      </c>
      <c r="BN24" s="160">
        <v>-241888</v>
      </c>
      <c r="BO24" s="164">
        <v>-168159</v>
      </c>
      <c r="BP24" s="148">
        <f t="shared" si="36"/>
        <v>-241888</v>
      </c>
      <c r="BQ24" s="148">
        <f t="shared" si="37"/>
        <v>-168159</v>
      </c>
      <c r="BR24" s="160">
        <v>-50116</v>
      </c>
      <c r="BS24" s="164">
        <v>-103509</v>
      </c>
      <c r="BT24" s="148">
        <f t="shared" si="46"/>
        <v>-50116</v>
      </c>
      <c r="BU24" s="149">
        <f t="shared" si="47"/>
        <v>-103509</v>
      </c>
      <c r="BV24" s="157"/>
      <c r="BW24" s="148"/>
      <c r="BX24" s="148"/>
      <c r="BY24" s="149"/>
      <c r="BZ24" s="331">
        <v>-491370</v>
      </c>
      <c r="CA24" s="325">
        <v>-463384</v>
      </c>
      <c r="CB24" s="329">
        <f t="shared" si="48"/>
        <v>-491370</v>
      </c>
      <c r="CC24" s="330">
        <f t="shared" si="49"/>
        <v>-463384</v>
      </c>
      <c r="CD24" s="323">
        <v>-12611</v>
      </c>
      <c r="CE24" s="173">
        <v>-10124</v>
      </c>
      <c r="CF24" s="173">
        <f t="shared" si="38"/>
        <v>-12611</v>
      </c>
      <c r="CG24" s="1608">
        <f t="shared" si="39"/>
        <v>-10124</v>
      </c>
      <c r="CH24" s="174">
        <v>-108411</v>
      </c>
      <c r="CI24" s="175">
        <v>-116585</v>
      </c>
      <c r="CJ24" s="175">
        <f t="shared" si="40"/>
        <v>-108411</v>
      </c>
      <c r="CK24" s="176">
        <f t="shared" si="41"/>
        <v>-116585</v>
      </c>
      <c r="CL24" s="177">
        <v>-198624</v>
      </c>
      <c r="CM24" s="181">
        <v>-188171</v>
      </c>
      <c r="CN24" s="152">
        <f t="shared" si="42"/>
        <v>-198624</v>
      </c>
      <c r="CO24" s="153">
        <f t="shared" si="43"/>
        <v>-188171</v>
      </c>
      <c r="CP24" s="177">
        <f>SUM(B24+F24+J24+N24+R24+V24+Z24+AD24+AH24+AL24+AP24+AT24+AX24+BB24+BF24+BJ24+BN24+BR24+BV24+BZ24+CD24+CH24+CL24)</f>
        <v>-6002036</v>
      </c>
      <c r="CQ24" s="189">
        <f>SUM(C24+G24+K24+O24+S24+W24+AA24+AE24+AI24+AM24+AQ24+AU24+AY24+BC24+BG24+BK24+BO24+BS24+BW24+CA24+CE24+CI24+CM24)</f>
        <v>-4287962</v>
      </c>
      <c r="CR24" s="189">
        <f>SUM(D24+H24+L24+P24+T24+X24+AB24+AF24+AJ24+AN24+AR24+AV24+AZ24+BD24+BH24+BL24+BP24+BT24+BX24+CB24+CF24+CJ24+CN24)</f>
        <v>-6002036</v>
      </c>
      <c r="CS24" s="191">
        <f>SUM(E24+I24+M24+Q24+U24+Y24+AC24+AG24+AK24+AO24+AS24+AW24+BA24+BE24+BI24+BM24+BQ24+BU24+BY24+CC24+CG24+CK24+CO24)</f>
        <v>-4287962</v>
      </c>
      <c r="CT24" s="177">
        <v>-126800</v>
      </c>
      <c r="CU24" s="181">
        <v>-99560</v>
      </c>
      <c r="CV24" s="175">
        <f t="shared" si="44"/>
        <v>-126800</v>
      </c>
      <c r="CW24" s="176">
        <f t="shared" si="45"/>
        <v>-99560</v>
      </c>
      <c r="CX24" s="177">
        <f>CP24+CT24</f>
        <v>-6128836</v>
      </c>
      <c r="CY24" s="189">
        <f>CQ24+CU24</f>
        <v>-4387522</v>
      </c>
      <c r="CZ24" s="189">
        <f>CR24+CV24</f>
        <v>-6128836</v>
      </c>
      <c r="DA24" s="191">
        <f>CS24+CW24</f>
        <v>-4387522</v>
      </c>
    </row>
    <row r="25" spans="1:105" s="144" customFormat="1" ht="15" thickBot="1">
      <c r="A25" s="179" t="s">
        <v>32</v>
      </c>
      <c r="B25" s="185"/>
      <c r="C25" s="145"/>
      <c r="D25" s="145">
        <f t="shared" si="4"/>
        <v>0</v>
      </c>
      <c r="E25" s="146">
        <f t="shared" si="5"/>
        <v>0</v>
      </c>
      <c r="F25" s="186"/>
      <c r="G25" s="148"/>
      <c r="H25" s="148">
        <f t="shared" si="6"/>
        <v>0</v>
      </c>
      <c r="I25" s="149">
        <f t="shared" si="7"/>
        <v>0</v>
      </c>
      <c r="J25" s="187"/>
      <c r="K25" s="152"/>
      <c r="L25" s="152">
        <f t="shared" si="8"/>
        <v>0</v>
      </c>
      <c r="M25" s="153">
        <f t="shared" si="9"/>
        <v>0</v>
      </c>
      <c r="N25" s="187"/>
      <c r="O25" s="152"/>
      <c r="P25" s="152">
        <f t="shared" si="10"/>
        <v>0</v>
      </c>
      <c r="Q25" s="153">
        <f t="shared" si="11"/>
        <v>0</v>
      </c>
      <c r="R25" s="187"/>
      <c r="S25" s="152"/>
      <c r="T25" s="152">
        <f t="shared" si="12"/>
        <v>0</v>
      </c>
      <c r="U25" s="153">
        <f t="shared" si="13"/>
        <v>0</v>
      </c>
      <c r="V25" s="187"/>
      <c r="W25" s="152"/>
      <c r="X25" s="152">
        <f t="shared" si="14"/>
        <v>0</v>
      </c>
      <c r="Y25" s="153">
        <f t="shared" si="15"/>
        <v>0</v>
      </c>
      <c r="Z25" s="187"/>
      <c r="AA25" s="152"/>
      <c r="AB25" s="187">
        <f t="shared" si="16"/>
        <v>0</v>
      </c>
      <c r="AC25" s="1605">
        <f t="shared" si="17"/>
        <v>0</v>
      </c>
      <c r="AD25" s="186"/>
      <c r="AE25" s="148"/>
      <c r="AF25" s="148">
        <f t="shared" si="18"/>
        <v>0</v>
      </c>
      <c r="AG25" s="149">
        <f t="shared" si="19"/>
        <v>0</v>
      </c>
      <c r="AH25" s="147"/>
      <c r="AI25" s="148"/>
      <c r="AJ25" s="148">
        <f t="shared" si="20"/>
        <v>0</v>
      </c>
      <c r="AK25" s="149">
        <f t="shared" si="21"/>
        <v>0</v>
      </c>
      <c r="AL25" s="147"/>
      <c r="AM25" s="148"/>
      <c r="AN25" s="148">
        <f t="shared" si="22"/>
        <v>0</v>
      </c>
      <c r="AO25" s="149">
        <f t="shared" si="23"/>
        <v>0</v>
      </c>
      <c r="AP25" s="151"/>
      <c r="AQ25" s="152"/>
      <c r="AR25" s="152">
        <f t="shared" si="24"/>
        <v>0</v>
      </c>
      <c r="AS25" s="153">
        <f t="shared" si="25"/>
        <v>0</v>
      </c>
      <c r="AT25" s="147"/>
      <c r="AU25" s="148"/>
      <c r="AV25" s="148">
        <f t="shared" si="26"/>
        <v>0</v>
      </c>
      <c r="AW25" s="149">
        <f t="shared" si="27"/>
        <v>0</v>
      </c>
      <c r="AX25" s="154"/>
      <c r="AY25" s="155"/>
      <c r="AZ25" s="155">
        <f t="shared" si="28"/>
        <v>0</v>
      </c>
      <c r="BA25" s="156">
        <f t="shared" si="29"/>
        <v>0</v>
      </c>
      <c r="BB25" s="147"/>
      <c r="BC25" s="148"/>
      <c r="BD25" s="148">
        <f t="shared" si="30"/>
        <v>0</v>
      </c>
      <c r="BE25" s="149">
        <f t="shared" si="31"/>
        <v>0</v>
      </c>
      <c r="BF25" s="147"/>
      <c r="BG25" s="148"/>
      <c r="BH25" s="148">
        <f t="shared" si="32"/>
        <v>0</v>
      </c>
      <c r="BI25" s="149">
        <f t="shared" si="33"/>
        <v>0</v>
      </c>
      <c r="BJ25" s="147"/>
      <c r="BK25" s="148"/>
      <c r="BL25" s="148">
        <f t="shared" si="34"/>
        <v>0</v>
      </c>
      <c r="BM25" s="149">
        <f t="shared" si="35"/>
        <v>0</v>
      </c>
      <c r="BN25" s="147"/>
      <c r="BO25" s="148"/>
      <c r="BP25" s="148">
        <f t="shared" si="36"/>
        <v>0</v>
      </c>
      <c r="BQ25" s="148">
        <f t="shared" si="37"/>
        <v>0</v>
      </c>
      <c r="BR25" s="147"/>
      <c r="BS25" s="148"/>
      <c r="BT25" s="148">
        <f t="shared" si="46"/>
        <v>0</v>
      </c>
      <c r="BU25" s="149">
        <f t="shared" si="47"/>
        <v>0</v>
      </c>
      <c r="BV25" s="157"/>
      <c r="BW25" s="148"/>
      <c r="BX25" s="148"/>
      <c r="BY25" s="149"/>
      <c r="BZ25" s="151"/>
      <c r="CA25" s="152"/>
      <c r="CB25" s="329">
        <f t="shared" si="48"/>
        <v>0</v>
      </c>
      <c r="CC25" s="330">
        <f t="shared" si="49"/>
        <v>0</v>
      </c>
      <c r="CD25" s="323"/>
      <c r="CE25" s="173"/>
      <c r="CF25" s="173">
        <f t="shared" si="38"/>
        <v>0</v>
      </c>
      <c r="CG25" s="1608">
        <f t="shared" si="39"/>
        <v>0</v>
      </c>
      <c r="CH25" s="174"/>
      <c r="CI25" s="175"/>
      <c r="CJ25" s="175">
        <f t="shared" si="40"/>
        <v>0</v>
      </c>
      <c r="CK25" s="176">
        <f t="shared" si="41"/>
        <v>0</v>
      </c>
      <c r="CL25" s="151"/>
      <c r="CM25" s="152"/>
      <c r="CN25" s="152">
        <f t="shared" si="42"/>
        <v>0</v>
      </c>
      <c r="CO25" s="153">
        <f t="shared" si="43"/>
        <v>0</v>
      </c>
      <c r="CP25" s="177"/>
      <c r="CQ25" s="189"/>
      <c r="CR25" s="189"/>
      <c r="CS25" s="191"/>
      <c r="CT25" s="174"/>
      <c r="CU25" s="175"/>
      <c r="CV25" s="175">
        <f t="shared" si="44"/>
        <v>0</v>
      </c>
      <c r="CW25" s="176">
        <f t="shared" si="45"/>
        <v>0</v>
      </c>
      <c r="CX25" s="177"/>
      <c r="CY25" s="189"/>
      <c r="CZ25" s="189"/>
      <c r="DA25" s="191"/>
    </row>
    <row r="26" spans="1:105" s="144" customFormat="1" ht="15" thickBot="1">
      <c r="A26" s="179" t="s">
        <v>49</v>
      </c>
      <c r="B26" s="185"/>
      <c r="C26" s="145"/>
      <c r="D26" s="145">
        <f t="shared" si="4"/>
        <v>0</v>
      </c>
      <c r="E26" s="146">
        <f t="shared" si="5"/>
        <v>0</v>
      </c>
      <c r="F26" s="186"/>
      <c r="G26" s="148"/>
      <c r="H26" s="148">
        <f t="shared" si="6"/>
        <v>0</v>
      </c>
      <c r="I26" s="149">
        <f t="shared" si="7"/>
        <v>0</v>
      </c>
      <c r="J26" s="187"/>
      <c r="K26" s="152"/>
      <c r="L26" s="152">
        <f t="shared" si="8"/>
        <v>0</v>
      </c>
      <c r="M26" s="153">
        <f t="shared" si="9"/>
        <v>0</v>
      </c>
      <c r="N26" s="187"/>
      <c r="O26" s="152"/>
      <c r="P26" s="152">
        <f t="shared" si="10"/>
        <v>0</v>
      </c>
      <c r="Q26" s="153">
        <f t="shared" si="11"/>
        <v>0</v>
      </c>
      <c r="R26" s="187"/>
      <c r="S26" s="152"/>
      <c r="T26" s="152">
        <f t="shared" si="12"/>
        <v>0</v>
      </c>
      <c r="U26" s="153">
        <f t="shared" si="13"/>
        <v>0</v>
      </c>
      <c r="V26" s="187"/>
      <c r="W26" s="152"/>
      <c r="X26" s="152">
        <f t="shared" si="14"/>
        <v>0</v>
      </c>
      <c r="Y26" s="153">
        <f t="shared" si="15"/>
        <v>0</v>
      </c>
      <c r="Z26" s="187"/>
      <c r="AA26" s="152"/>
      <c r="AB26" s="187">
        <f t="shared" si="16"/>
        <v>0</v>
      </c>
      <c r="AC26" s="1605">
        <f t="shared" si="17"/>
        <v>0</v>
      </c>
      <c r="AD26" s="186"/>
      <c r="AE26" s="148"/>
      <c r="AF26" s="148">
        <f t="shared" si="18"/>
        <v>0</v>
      </c>
      <c r="AG26" s="149">
        <f t="shared" si="19"/>
        <v>0</v>
      </c>
      <c r="AH26" s="147"/>
      <c r="AI26" s="148"/>
      <c r="AJ26" s="148">
        <f t="shared" si="20"/>
        <v>0</v>
      </c>
      <c r="AK26" s="149">
        <f t="shared" si="21"/>
        <v>0</v>
      </c>
      <c r="AL26" s="147"/>
      <c r="AM26" s="148"/>
      <c r="AN26" s="148">
        <f t="shared" si="22"/>
        <v>0</v>
      </c>
      <c r="AO26" s="149">
        <f t="shared" si="23"/>
        <v>0</v>
      </c>
      <c r="AP26" s="151"/>
      <c r="AQ26" s="152"/>
      <c r="AR26" s="152">
        <f t="shared" si="24"/>
        <v>0</v>
      </c>
      <c r="AS26" s="153">
        <f t="shared" si="25"/>
        <v>0</v>
      </c>
      <c r="AT26" s="147"/>
      <c r="AU26" s="148"/>
      <c r="AV26" s="148">
        <f t="shared" si="26"/>
        <v>0</v>
      </c>
      <c r="AW26" s="149">
        <f t="shared" si="27"/>
        <v>0</v>
      </c>
      <c r="AX26" s="154"/>
      <c r="AY26" s="155"/>
      <c r="AZ26" s="155">
        <f t="shared" si="28"/>
        <v>0</v>
      </c>
      <c r="BA26" s="156">
        <f t="shared" si="29"/>
        <v>0</v>
      </c>
      <c r="BB26" s="147"/>
      <c r="BC26" s="148"/>
      <c r="BD26" s="148">
        <f t="shared" si="30"/>
        <v>0</v>
      </c>
      <c r="BE26" s="149">
        <f t="shared" si="31"/>
        <v>0</v>
      </c>
      <c r="BF26" s="147"/>
      <c r="BG26" s="148"/>
      <c r="BH26" s="148">
        <f t="shared" si="32"/>
        <v>0</v>
      </c>
      <c r="BI26" s="149">
        <f t="shared" si="33"/>
        <v>0</v>
      </c>
      <c r="BJ26" s="147"/>
      <c r="BK26" s="148"/>
      <c r="BL26" s="148">
        <f t="shared" si="34"/>
        <v>0</v>
      </c>
      <c r="BM26" s="149">
        <f t="shared" si="35"/>
        <v>0</v>
      </c>
      <c r="BN26" s="147"/>
      <c r="BO26" s="148"/>
      <c r="BP26" s="148">
        <f t="shared" si="36"/>
        <v>0</v>
      </c>
      <c r="BQ26" s="148">
        <f t="shared" si="37"/>
        <v>0</v>
      </c>
      <c r="BR26" s="147"/>
      <c r="BS26" s="148"/>
      <c r="BT26" s="148">
        <f>BR26</f>
        <v>0</v>
      </c>
      <c r="BU26" s="149">
        <f>BS26</f>
        <v>0</v>
      </c>
      <c r="BV26" s="157"/>
      <c r="BW26" s="148"/>
      <c r="BX26" s="148"/>
      <c r="BY26" s="149"/>
      <c r="BZ26" s="151"/>
      <c r="CA26" s="152"/>
      <c r="CB26" s="329">
        <f t="shared" si="48"/>
        <v>0</v>
      </c>
      <c r="CC26" s="330">
        <f t="shared" si="49"/>
        <v>0</v>
      </c>
      <c r="CD26" s="323"/>
      <c r="CE26" s="173"/>
      <c r="CF26" s="173">
        <f t="shared" si="38"/>
        <v>0</v>
      </c>
      <c r="CG26" s="1608">
        <f t="shared" si="39"/>
        <v>0</v>
      </c>
      <c r="CH26" s="174"/>
      <c r="CI26" s="175"/>
      <c r="CJ26" s="175">
        <f t="shared" si="40"/>
        <v>0</v>
      </c>
      <c r="CK26" s="176">
        <f t="shared" si="41"/>
        <v>0</v>
      </c>
      <c r="CL26" s="151"/>
      <c r="CM26" s="152"/>
      <c r="CN26" s="152">
        <f t="shared" si="42"/>
        <v>0</v>
      </c>
      <c r="CO26" s="153">
        <f t="shared" si="43"/>
        <v>0</v>
      </c>
      <c r="CP26" s="177"/>
      <c r="CQ26" s="189"/>
      <c r="CR26" s="189"/>
      <c r="CS26" s="191"/>
      <c r="CT26" s="174"/>
      <c r="CU26" s="175"/>
      <c r="CV26" s="175">
        <f t="shared" si="44"/>
        <v>0</v>
      </c>
      <c r="CW26" s="176">
        <f t="shared" si="45"/>
        <v>0</v>
      </c>
      <c r="CX26" s="177"/>
      <c r="CY26" s="189"/>
      <c r="CZ26" s="189"/>
      <c r="DA26" s="191"/>
    </row>
    <row r="27" spans="1:105" s="144" customFormat="1" ht="14.25">
      <c r="A27" s="179" t="s">
        <v>50</v>
      </c>
      <c r="B27" s="185">
        <v>-1251</v>
      </c>
      <c r="C27" s="145">
        <v>-1976</v>
      </c>
      <c r="D27" s="145">
        <f t="shared" si="4"/>
        <v>-1251</v>
      </c>
      <c r="E27" s="146">
        <f t="shared" si="5"/>
        <v>-1976</v>
      </c>
      <c r="F27" s="186">
        <v>-1143</v>
      </c>
      <c r="G27" s="148">
        <v>-1493</v>
      </c>
      <c r="H27" s="148">
        <f t="shared" si="6"/>
        <v>-1143</v>
      </c>
      <c r="I27" s="149">
        <f t="shared" si="7"/>
        <v>-1493</v>
      </c>
      <c r="J27" s="187"/>
      <c r="K27" s="152"/>
      <c r="L27" s="152">
        <f t="shared" si="8"/>
        <v>0</v>
      </c>
      <c r="M27" s="153">
        <f t="shared" si="9"/>
        <v>0</v>
      </c>
      <c r="N27" s="187">
        <v>-269</v>
      </c>
      <c r="O27" s="152">
        <v>-61</v>
      </c>
      <c r="P27" s="152">
        <f t="shared" si="10"/>
        <v>-269</v>
      </c>
      <c r="Q27" s="153">
        <f t="shared" si="11"/>
        <v>-61</v>
      </c>
      <c r="R27" s="187">
        <v>-1801</v>
      </c>
      <c r="S27" s="152">
        <v>-28</v>
      </c>
      <c r="T27" s="152">
        <f t="shared" si="12"/>
        <v>-1801</v>
      </c>
      <c r="U27" s="153">
        <f t="shared" si="13"/>
        <v>-28</v>
      </c>
      <c r="V27" s="187"/>
      <c r="W27" s="152"/>
      <c r="X27" s="152">
        <f t="shared" si="14"/>
        <v>0</v>
      </c>
      <c r="Y27" s="153">
        <f t="shared" si="15"/>
        <v>0</v>
      </c>
      <c r="Z27" s="187">
        <v>-25</v>
      </c>
      <c r="AA27" s="152"/>
      <c r="AB27" s="187">
        <f t="shared" si="16"/>
        <v>-25</v>
      </c>
      <c r="AC27" s="1605">
        <f t="shared" si="17"/>
        <v>0</v>
      </c>
      <c r="AD27" s="186">
        <v>-3463</v>
      </c>
      <c r="AE27" s="148">
        <v>-167</v>
      </c>
      <c r="AF27" s="148">
        <f t="shared" si="18"/>
        <v>-3463</v>
      </c>
      <c r="AG27" s="149">
        <f t="shared" si="19"/>
        <v>-167</v>
      </c>
      <c r="AH27" s="147"/>
      <c r="AI27" s="148"/>
      <c r="AJ27" s="148">
        <f t="shared" si="20"/>
        <v>0</v>
      </c>
      <c r="AK27" s="149">
        <f t="shared" si="21"/>
        <v>0</v>
      </c>
      <c r="AL27" s="147"/>
      <c r="AM27" s="148"/>
      <c r="AN27" s="148">
        <f t="shared" si="22"/>
        <v>0</v>
      </c>
      <c r="AO27" s="149">
        <f t="shared" si="23"/>
        <v>0</v>
      </c>
      <c r="AP27" s="151">
        <v>-89112</v>
      </c>
      <c r="AQ27" s="152">
        <v>-8480</v>
      </c>
      <c r="AR27" s="152">
        <f t="shared" si="24"/>
        <v>-89112</v>
      </c>
      <c r="AS27" s="153">
        <f t="shared" si="25"/>
        <v>-8480</v>
      </c>
      <c r="AT27" s="147">
        <v>-116067</v>
      </c>
      <c r="AU27" s="148">
        <v>-118803</v>
      </c>
      <c r="AV27" s="148">
        <f t="shared" si="26"/>
        <v>-116067</v>
      </c>
      <c r="AW27" s="149">
        <f t="shared" si="27"/>
        <v>-118803</v>
      </c>
      <c r="AX27" s="154">
        <v>-9</v>
      </c>
      <c r="AY27" s="155">
        <v>-115</v>
      </c>
      <c r="AZ27" s="155">
        <f t="shared" si="28"/>
        <v>-9</v>
      </c>
      <c r="BA27" s="156">
        <f t="shared" si="29"/>
        <v>-115</v>
      </c>
      <c r="BB27" s="147">
        <v>-1977</v>
      </c>
      <c r="BC27" s="148">
        <v>-1987</v>
      </c>
      <c r="BD27" s="148">
        <f t="shared" si="30"/>
        <v>-1977</v>
      </c>
      <c r="BE27" s="149">
        <f t="shared" si="31"/>
        <v>-1987</v>
      </c>
      <c r="BF27" s="147"/>
      <c r="BG27" s="148"/>
      <c r="BH27" s="148">
        <f t="shared" si="32"/>
        <v>0</v>
      </c>
      <c r="BI27" s="149">
        <f t="shared" si="33"/>
        <v>0</v>
      </c>
      <c r="BJ27" s="147">
        <v>-8547</v>
      </c>
      <c r="BK27" s="148">
        <v>-8115</v>
      </c>
      <c r="BL27" s="148">
        <f t="shared" si="34"/>
        <v>-8547</v>
      </c>
      <c r="BM27" s="149">
        <f t="shared" si="35"/>
        <v>-8115</v>
      </c>
      <c r="BN27" s="147">
        <v>-2710</v>
      </c>
      <c r="BO27" s="148">
        <v>-2812</v>
      </c>
      <c r="BP27" s="148">
        <f t="shared" si="36"/>
        <v>-2710</v>
      </c>
      <c r="BQ27" s="148">
        <f t="shared" si="37"/>
        <v>-2812</v>
      </c>
      <c r="BR27" s="147">
        <v>-275</v>
      </c>
      <c r="BS27" s="148"/>
      <c r="BT27" s="148">
        <f aca="true" t="shared" si="53" ref="BT27:BT33">BR27</f>
        <v>-275</v>
      </c>
      <c r="BU27" s="149">
        <f aca="true" t="shared" si="54" ref="BU27:BU33">BS27</f>
        <v>0</v>
      </c>
      <c r="BV27" s="157"/>
      <c r="BW27" s="148"/>
      <c r="BX27" s="148"/>
      <c r="BY27" s="149"/>
      <c r="BZ27" s="331">
        <v>-96</v>
      </c>
      <c r="CA27" s="325">
        <v>-232</v>
      </c>
      <c r="CB27" s="329">
        <f t="shared" si="48"/>
        <v>-96</v>
      </c>
      <c r="CC27" s="330">
        <f t="shared" si="49"/>
        <v>-232</v>
      </c>
      <c r="CD27" s="323"/>
      <c r="CE27" s="173"/>
      <c r="CF27" s="173">
        <f t="shared" si="38"/>
        <v>0</v>
      </c>
      <c r="CG27" s="1608">
        <f t="shared" si="39"/>
        <v>0</v>
      </c>
      <c r="CH27" s="174">
        <v>-13002</v>
      </c>
      <c r="CI27" s="175">
        <v>-7493</v>
      </c>
      <c r="CJ27" s="175">
        <f t="shared" si="40"/>
        <v>-13002</v>
      </c>
      <c r="CK27" s="176">
        <f t="shared" si="41"/>
        <v>-7493</v>
      </c>
      <c r="CL27" s="151"/>
      <c r="CM27" s="152"/>
      <c r="CN27" s="152">
        <f t="shared" si="42"/>
        <v>0</v>
      </c>
      <c r="CO27" s="153">
        <f t="shared" si="43"/>
        <v>0</v>
      </c>
      <c r="CP27" s="177">
        <f aca="true" t="shared" si="55" ref="CP27:CS28">SUM(B27+F27+J27+N27+R27+V27+Z27+AD27+AH27+AL27+AP27+AT27+AX27+BB27+BF27+BJ27+BN27+BR27+BV27+BZ27+CD27+CH27+CL27)</f>
        <v>-239747</v>
      </c>
      <c r="CQ27" s="189">
        <f t="shared" si="55"/>
        <v>-151762</v>
      </c>
      <c r="CR27" s="189">
        <f t="shared" si="55"/>
        <v>-239747</v>
      </c>
      <c r="CS27" s="191">
        <f t="shared" si="55"/>
        <v>-151762</v>
      </c>
      <c r="CT27" s="174">
        <v>-42415</v>
      </c>
      <c r="CU27" s="175">
        <v>-16500</v>
      </c>
      <c r="CV27" s="175">
        <f t="shared" si="44"/>
        <v>-42415</v>
      </c>
      <c r="CW27" s="176">
        <f t="shared" si="45"/>
        <v>-16500</v>
      </c>
      <c r="CX27" s="177">
        <f aca="true" t="shared" si="56" ref="CX27:DA28">CP27+CT27</f>
        <v>-282162</v>
      </c>
      <c r="CY27" s="189">
        <f t="shared" si="56"/>
        <v>-168262</v>
      </c>
      <c r="CZ27" s="189">
        <f t="shared" si="56"/>
        <v>-282162</v>
      </c>
      <c r="DA27" s="191">
        <f t="shared" si="56"/>
        <v>-168262</v>
      </c>
    </row>
    <row r="28" spans="1:105" s="144" customFormat="1" ht="14.25">
      <c r="A28" s="179" t="s">
        <v>51</v>
      </c>
      <c r="B28" s="185"/>
      <c r="C28" s="145"/>
      <c r="D28" s="145">
        <f t="shared" si="4"/>
        <v>0</v>
      </c>
      <c r="E28" s="146">
        <f t="shared" si="5"/>
        <v>0</v>
      </c>
      <c r="F28" s="186">
        <v>-18503</v>
      </c>
      <c r="G28" s="148"/>
      <c r="H28" s="148">
        <f t="shared" si="6"/>
        <v>-18503</v>
      </c>
      <c r="I28" s="149">
        <f t="shared" si="7"/>
        <v>0</v>
      </c>
      <c r="J28" s="187"/>
      <c r="K28" s="152"/>
      <c r="L28" s="152">
        <f t="shared" si="8"/>
        <v>0</v>
      </c>
      <c r="M28" s="153">
        <f t="shared" si="9"/>
        <v>0</v>
      </c>
      <c r="N28" s="187">
        <v>-6642</v>
      </c>
      <c r="O28" s="152">
        <v>-80</v>
      </c>
      <c r="P28" s="152">
        <f t="shared" si="10"/>
        <v>-6642</v>
      </c>
      <c r="Q28" s="153">
        <f t="shared" si="11"/>
        <v>-80</v>
      </c>
      <c r="R28" s="187"/>
      <c r="S28" s="152">
        <v>-15040</v>
      </c>
      <c r="T28" s="152">
        <f t="shared" si="12"/>
        <v>0</v>
      </c>
      <c r="U28" s="153">
        <f t="shared" si="13"/>
        <v>-15040</v>
      </c>
      <c r="V28" s="187"/>
      <c r="W28" s="152"/>
      <c r="X28" s="152">
        <f t="shared" si="14"/>
        <v>0</v>
      </c>
      <c r="Y28" s="153">
        <f t="shared" si="15"/>
        <v>0</v>
      </c>
      <c r="Z28" s="187"/>
      <c r="AA28" s="152"/>
      <c r="AB28" s="187">
        <f t="shared" si="16"/>
        <v>0</v>
      </c>
      <c r="AC28" s="1605">
        <f t="shared" si="17"/>
        <v>0</v>
      </c>
      <c r="AD28" s="186"/>
      <c r="AE28" s="148"/>
      <c r="AF28" s="148">
        <f t="shared" si="18"/>
        <v>0</v>
      </c>
      <c r="AG28" s="149">
        <f t="shared" si="19"/>
        <v>0</v>
      </c>
      <c r="AH28" s="147"/>
      <c r="AI28" s="148"/>
      <c r="AJ28" s="148">
        <f t="shared" si="20"/>
        <v>0</v>
      </c>
      <c r="AK28" s="149">
        <f t="shared" si="21"/>
        <v>0</v>
      </c>
      <c r="AL28" s="147"/>
      <c r="AM28" s="148"/>
      <c r="AN28" s="148">
        <f t="shared" si="22"/>
        <v>0</v>
      </c>
      <c r="AO28" s="149">
        <f t="shared" si="23"/>
        <v>0</v>
      </c>
      <c r="AP28" s="151"/>
      <c r="AQ28" s="152"/>
      <c r="AR28" s="152">
        <f t="shared" si="24"/>
        <v>0</v>
      </c>
      <c r="AS28" s="153">
        <f t="shared" si="25"/>
        <v>0</v>
      </c>
      <c r="AT28" s="147"/>
      <c r="AU28" s="148"/>
      <c r="AV28" s="148">
        <f t="shared" si="26"/>
        <v>0</v>
      </c>
      <c r="AW28" s="149">
        <f t="shared" si="27"/>
        <v>0</v>
      </c>
      <c r="AX28" s="154"/>
      <c r="AY28" s="155"/>
      <c r="AZ28" s="155">
        <f t="shared" si="28"/>
        <v>0</v>
      </c>
      <c r="BA28" s="156">
        <f t="shared" si="29"/>
        <v>0</v>
      </c>
      <c r="BB28" s="147"/>
      <c r="BC28" s="148"/>
      <c r="BD28" s="148">
        <f t="shared" si="30"/>
        <v>0</v>
      </c>
      <c r="BE28" s="149">
        <f t="shared" si="31"/>
        <v>0</v>
      </c>
      <c r="BF28" s="147">
        <v>-650</v>
      </c>
      <c r="BG28" s="148"/>
      <c r="BH28" s="148">
        <f t="shared" si="32"/>
        <v>-650</v>
      </c>
      <c r="BI28" s="149">
        <f t="shared" si="33"/>
        <v>0</v>
      </c>
      <c r="BJ28" s="147"/>
      <c r="BK28" s="148"/>
      <c r="BL28" s="148">
        <f t="shared" si="34"/>
        <v>0</v>
      </c>
      <c r="BM28" s="149">
        <f t="shared" si="35"/>
        <v>0</v>
      </c>
      <c r="BN28" s="147"/>
      <c r="BO28" s="148"/>
      <c r="BP28" s="148">
        <f t="shared" si="36"/>
        <v>0</v>
      </c>
      <c r="BQ28" s="148">
        <f t="shared" si="37"/>
        <v>0</v>
      </c>
      <c r="BR28" s="147"/>
      <c r="BS28" s="148"/>
      <c r="BT28" s="148">
        <f t="shared" si="53"/>
        <v>0</v>
      </c>
      <c r="BU28" s="149">
        <f t="shared" si="54"/>
        <v>0</v>
      </c>
      <c r="BV28" s="157"/>
      <c r="BW28" s="148"/>
      <c r="BX28" s="148"/>
      <c r="BY28" s="149"/>
      <c r="BZ28" s="331"/>
      <c r="CA28" s="325"/>
      <c r="CB28" s="325"/>
      <c r="CC28" s="332"/>
      <c r="CD28" s="323"/>
      <c r="CE28" s="173"/>
      <c r="CF28" s="173"/>
      <c r="CG28" s="1608"/>
      <c r="CH28" s="174"/>
      <c r="CI28" s="175"/>
      <c r="CJ28" s="175"/>
      <c r="CK28" s="176"/>
      <c r="CL28" s="151"/>
      <c r="CM28" s="152"/>
      <c r="CN28" s="152">
        <f t="shared" si="42"/>
        <v>0</v>
      </c>
      <c r="CO28" s="153">
        <f t="shared" si="43"/>
        <v>0</v>
      </c>
      <c r="CP28" s="177">
        <f t="shared" si="55"/>
        <v>-25795</v>
      </c>
      <c r="CQ28" s="189">
        <f t="shared" si="55"/>
        <v>-15120</v>
      </c>
      <c r="CR28" s="189">
        <f t="shared" si="55"/>
        <v>-25795</v>
      </c>
      <c r="CS28" s="191">
        <f t="shared" si="55"/>
        <v>-15120</v>
      </c>
      <c r="CT28" s="174"/>
      <c r="CU28" s="175"/>
      <c r="CV28" s="175">
        <f t="shared" si="44"/>
        <v>0</v>
      </c>
      <c r="CW28" s="176">
        <f t="shared" si="45"/>
        <v>0</v>
      </c>
      <c r="CX28" s="177">
        <f t="shared" si="56"/>
        <v>-25795</v>
      </c>
      <c r="CY28" s="189">
        <f t="shared" si="56"/>
        <v>-15120</v>
      </c>
      <c r="CZ28" s="189">
        <f t="shared" si="56"/>
        <v>-25795</v>
      </c>
      <c r="DA28" s="191">
        <f t="shared" si="56"/>
        <v>-15120</v>
      </c>
    </row>
    <row r="29" spans="1:105" s="144" customFormat="1" ht="14.25">
      <c r="A29" s="179" t="s">
        <v>52</v>
      </c>
      <c r="B29" s="194"/>
      <c r="C29" s="195"/>
      <c r="D29" s="145">
        <f t="shared" si="4"/>
        <v>0</v>
      </c>
      <c r="E29" s="146">
        <f t="shared" si="5"/>
        <v>0</v>
      </c>
      <c r="F29" s="196"/>
      <c r="G29" s="164"/>
      <c r="H29" s="148">
        <f t="shared" si="6"/>
        <v>0</v>
      </c>
      <c r="I29" s="149">
        <f t="shared" si="7"/>
        <v>0</v>
      </c>
      <c r="J29" s="189"/>
      <c r="K29" s="181"/>
      <c r="L29" s="152">
        <f t="shared" si="8"/>
        <v>0</v>
      </c>
      <c r="M29" s="153">
        <f t="shared" si="9"/>
        <v>0</v>
      </c>
      <c r="N29" s="189"/>
      <c r="O29" s="181"/>
      <c r="P29" s="152">
        <f t="shared" si="10"/>
        <v>0</v>
      </c>
      <c r="Q29" s="153">
        <f t="shared" si="11"/>
        <v>0</v>
      </c>
      <c r="R29" s="189"/>
      <c r="S29" s="181"/>
      <c r="T29" s="152">
        <f t="shared" si="12"/>
        <v>0</v>
      </c>
      <c r="U29" s="153">
        <f t="shared" si="13"/>
        <v>0</v>
      </c>
      <c r="V29" s="189"/>
      <c r="W29" s="181"/>
      <c r="X29" s="152">
        <f t="shared" si="14"/>
        <v>0</v>
      </c>
      <c r="Y29" s="153">
        <f t="shared" si="15"/>
        <v>0</v>
      </c>
      <c r="Z29" s="189"/>
      <c r="AA29" s="181"/>
      <c r="AB29" s="187">
        <f t="shared" si="16"/>
        <v>0</v>
      </c>
      <c r="AC29" s="1605">
        <f t="shared" si="17"/>
        <v>0</v>
      </c>
      <c r="AD29" s="196"/>
      <c r="AE29" s="164"/>
      <c r="AF29" s="148">
        <f t="shared" si="18"/>
        <v>0</v>
      </c>
      <c r="AG29" s="149">
        <f t="shared" si="19"/>
        <v>0</v>
      </c>
      <c r="AH29" s="160"/>
      <c r="AI29" s="164"/>
      <c r="AJ29" s="148">
        <f t="shared" si="20"/>
        <v>0</v>
      </c>
      <c r="AK29" s="149">
        <f t="shared" si="21"/>
        <v>0</v>
      </c>
      <c r="AL29" s="160"/>
      <c r="AM29" s="164"/>
      <c r="AN29" s="148">
        <f t="shared" si="22"/>
        <v>0</v>
      </c>
      <c r="AO29" s="149">
        <f t="shared" si="23"/>
        <v>0</v>
      </c>
      <c r="AP29" s="177"/>
      <c r="AQ29" s="181"/>
      <c r="AR29" s="152">
        <f t="shared" si="24"/>
        <v>0</v>
      </c>
      <c r="AS29" s="153">
        <f t="shared" si="25"/>
        <v>0</v>
      </c>
      <c r="AT29" s="160"/>
      <c r="AU29" s="164"/>
      <c r="AV29" s="148">
        <f t="shared" si="26"/>
        <v>0</v>
      </c>
      <c r="AW29" s="149">
        <f t="shared" si="27"/>
        <v>0</v>
      </c>
      <c r="AX29" s="154"/>
      <c r="AY29" s="155"/>
      <c r="AZ29" s="155">
        <f t="shared" si="28"/>
        <v>0</v>
      </c>
      <c r="BA29" s="156">
        <f t="shared" si="29"/>
        <v>0</v>
      </c>
      <c r="BB29" s="160"/>
      <c r="BC29" s="164"/>
      <c r="BD29" s="148">
        <f t="shared" si="30"/>
        <v>0</v>
      </c>
      <c r="BE29" s="149">
        <f t="shared" si="31"/>
        <v>0</v>
      </c>
      <c r="BF29" s="197"/>
      <c r="BG29" s="198"/>
      <c r="BH29" s="148">
        <f t="shared" si="32"/>
        <v>0</v>
      </c>
      <c r="BI29" s="149">
        <f t="shared" si="33"/>
        <v>0</v>
      </c>
      <c r="BJ29" s="160"/>
      <c r="BK29" s="164"/>
      <c r="BL29" s="148">
        <f t="shared" si="34"/>
        <v>0</v>
      </c>
      <c r="BM29" s="149">
        <f t="shared" si="35"/>
        <v>0</v>
      </c>
      <c r="BN29" s="160"/>
      <c r="BO29" s="164"/>
      <c r="BP29" s="148">
        <f t="shared" si="36"/>
        <v>0</v>
      </c>
      <c r="BQ29" s="148">
        <f t="shared" si="37"/>
        <v>0</v>
      </c>
      <c r="BR29" s="160"/>
      <c r="BS29" s="164"/>
      <c r="BT29" s="148">
        <f t="shared" si="53"/>
        <v>0</v>
      </c>
      <c r="BU29" s="149">
        <f t="shared" si="54"/>
        <v>0</v>
      </c>
      <c r="BV29" s="157"/>
      <c r="BW29" s="148"/>
      <c r="BX29" s="148"/>
      <c r="BY29" s="149"/>
      <c r="BZ29" s="151"/>
      <c r="CA29" s="152"/>
      <c r="CB29" s="152"/>
      <c r="CC29" s="153"/>
      <c r="CD29" s="323"/>
      <c r="CE29" s="173"/>
      <c r="CF29" s="173"/>
      <c r="CG29" s="1608"/>
      <c r="CH29" s="174"/>
      <c r="CI29" s="175"/>
      <c r="CJ29" s="175"/>
      <c r="CK29" s="176"/>
      <c r="CL29" s="177"/>
      <c r="CM29" s="181"/>
      <c r="CN29" s="181"/>
      <c r="CO29" s="182"/>
      <c r="CP29" s="177"/>
      <c r="CQ29" s="189"/>
      <c r="CR29" s="189"/>
      <c r="CS29" s="191"/>
      <c r="CT29" s="177"/>
      <c r="CU29" s="181"/>
      <c r="CV29" s="181"/>
      <c r="CW29" s="182"/>
      <c r="CX29" s="177"/>
      <c r="CY29" s="189"/>
      <c r="CZ29" s="189"/>
      <c r="DA29" s="191"/>
    </row>
    <row r="30" spans="1:105" s="144" customFormat="1" ht="14.25">
      <c r="A30" s="179" t="s">
        <v>31</v>
      </c>
      <c r="B30" s="185"/>
      <c r="C30" s="145"/>
      <c r="D30" s="145">
        <f t="shared" si="4"/>
        <v>0</v>
      </c>
      <c r="E30" s="146">
        <f t="shared" si="5"/>
        <v>0</v>
      </c>
      <c r="F30" s="186"/>
      <c r="G30" s="148"/>
      <c r="H30" s="148">
        <f t="shared" si="6"/>
        <v>0</v>
      </c>
      <c r="I30" s="149">
        <f t="shared" si="7"/>
        <v>0</v>
      </c>
      <c r="J30" s="187"/>
      <c r="K30" s="152"/>
      <c r="L30" s="152">
        <f t="shared" si="8"/>
        <v>0</v>
      </c>
      <c r="M30" s="153">
        <f t="shared" si="9"/>
        <v>0</v>
      </c>
      <c r="N30" s="187"/>
      <c r="O30" s="152"/>
      <c r="P30" s="152">
        <f t="shared" si="10"/>
        <v>0</v>
      </c>
      <c r="Q30" s="153">
        <f t="shared" si="11"/>
        <v>0</v>
      </c>
      <c r="R30" s="187"/>
      <c r="S30" s="152"/>
      <c r="T30" s="152">
        <f t="shared" si="12"/>
        <v>0</v>
      </c>
      <c r="U30" s="153">
        <f t="shared" si="13"/>
        <v>0</v>
      </c>
      <c r="V30" s="187"/>
      <c r="W30" s="152"/>
      <c r="X30" s="152">
        <f t="shared" si="14"/>
        <v>0</v>
      </c>
      <c r="Y30" s="153">
        <f t="shared" si="15"/>
        <v>0</v>
      </c>
      <c r="Z30" s="187"/>
      <c r="AA30" s="152"/>
      <c r="AB30" s="187">
        <f t="shared" si="16"/>
        <v>0</v>
      </c>
      <c r="AC30" s="1605">
        <f t="shared" si="17"/>
        <v>0</v>
      </c>
      <c r="AD30" s="186"/>
      <c r="AE30" s="148"/>
      <c r="AF30" s="148">
        <f t="shared" si="18"/>
        <v>0</v>
      </c>
      <c r="AG30" s="149">
        <f t="shared" si="19"/>
        <v>0</v>
      </c>
      <c r="AH30" s="147"/>
      <c r="AI30" s="148"/>
      <c r="AJ30" s="148">
        <f t="shared" si="20"/>
        <v>0</v>
      </c>
      <c r="AK30" s="149">
        <f t="shared" si="21"/>
        <v>0</v>
      </c>
      <c r="AL30" s="147"/>
      <c r="AM30" s="148"/>
      <c r="AN30" s="148">
        <f t="shared" si="22"/>
        <v>0</v>
      </c>
      <c r="AO30" s="149">
        <f t="shared" si="23"/>
        <v>0</v>
      </c>
      <c r="AP30" s="151"/>
      <c r="AQ30" s="152"/>
      <c r="AR30" s="152">
        <f t="shared" si="24"/>
        <v>0</v>
      </c>
      <c r="AS30" s="153">
        <f t="shared" si="25"/>
        <v>0</v>
      </c>
      <c r="AT30" s="147"/>
      <c r="AU30" s="148"/>
      <c r="AV30" s="148">
        <f t="shared" si="26"/>
        <v>0</v>
      </c>
      <c r="AW30" s="149">
        <f t="shared" si="27"/>
        <v>0</v>
      </c>
      <c r="AX30" s="154"/>
      <c r="AY30" s="155"/>
      <c r="AZ30" s="155">
        <f t="shared" si="28"/>
        <v>0</v>
      </c>
      <c r="BA30" s="156">
        <f t="shared" si="29"/>
        <v>0</v>
      </c>
      <c r="BB30" s="147"/>
      <c r="BC30" s="148"/>
      <c r="BD30" s="148">
        <f t="shared" si="30"/>
        <v>0</v>
      </c>
      <c r="BE30" s="149">
        <f t="shared" si="31"/>
        <v>0</v>
      </c>
      <c r="BF30" s="147"/>
      <c r="BG30" s="148"/>
      <c r="BH30" s="148">
        <f t="shared" si="32"/>
        <v>0</v>
      </c>
      <c r="BI30" s="149">
        <f t="shared" si="33"/>
        <v>0</v>
      </c>
      <c r="BJ30" s="147"/>
      <c r="BK30" s="148"/>
      <c r="BL30" s="148">
        <f t="shared" si="34"/>
        <v>0</v>
      </c>
      <c r="BM30" s="149">
        <f t="shared" si="35"/>
        <v>0</v>
      </c>
      <c r="BN30" s="147"/>
      <c r="BO30" s="148"/>
      <c r="BP30" s="148">
        <f t="shared" si="36"/>
        <v>0</v>
      </c>
      <c r="BQ30" s="148">
        <f t="shared" si="37"/>
        <v>0</v>
      </c>
      <c r="BR30" s="147"/>
      <c r="BS30" s="148"/>
      <c r="BT30" s="148">
        <f t="shared" si="53"/>
        <v>0</v>
      </c>
      <c r="BU30" s="149">
        <f t="shared" si="54"/>
        <v>0</v>
      </c>
      <c r="BV30" s="157"/>
      <c r="BW30" s="148"/>
      <c r="BX30" s="148"/>
      <c r="BY30" s="149"/>
      <c r="BZ30" s="151"/>
      <c r="CA30" s="152"/>
      <c r="CB30" s="152"/>
      <c r="CC30" s="153"/>
      <c r="CD30" s="323"/>
      <c r="CE30" s="173"/>
      <c r="CF30" s="173"/>
      <c r="CG30" s="1608"/>
      <c r="CH30" s="174"/>
      <c r="CI30" s="175"/>
      <c r="CJ30" s="175"/>
      <c r="CK30" s="176"/>
      <c r="CL30" s="151"/>
      <c r="CM30" s="152"/>
      <c r="CN30" s="152"/>
      <c r="CO30" s="153"/>
      <c r="CP30" s="177">
        <f>SUM(B30+F30+J30+N30+R30+V30+Z30+AD30+AH30+AL30+AP30+AT30+AX30+BB30+BF30+BJ30+BN30+BR30+BV30+BZ30+CD30+CH30+CL30)</f>
        <v>0</v>
      </c>
      <c r="CQ30" s="189">
        <f>SUM(C30+G30+K30+O30+S30+W30+AA30+AE30+AI30+AM30+AQ30+AU30+AY30+BC30+BG30+BK30+BO30+BS30+BW30+CA30+CE30+CI30+CM30)</f>
        <v>0</v>
      </c>
      <c r="CR30" s="189">
        <f>SUM(D30+H30+L30+P30+T30+X30+AB30+AF30+AJ30+AN30+AR30+AV30+AZ30+BD30+BH30+BL30+BP30+BT30+BX30+CB30+CF30+CJ30+CN30)</f>
        <v>0</v>
      </c>
      <c r="CS30" s="191">
        <f>SUM(E30+I30+M30+Q30+U30+Y30+AC30+AG30+AK30+AO30+AS30+AW30+BA30+BE30+BI30+BM30+BQ30+BU30+BY30+CC30+CG30+CK30+CO30)</f>
        <v>0</v>
      </c>
      <c r="CT30" s="174"/>
      <c r="CU30" s="175"/>
      <c r="CV30" s="175"/>
      <c r="CW30" s="176"/>
      <c r="CX30" s="177">
        <f>CP30+CT30</f>
        <v>0</v>
      </c>
      <c r="CY30" s="189">
        <f>CQ30+CU30</f>
        <v>0</v>
      </c>
      <c r="CZ30" s="189">
        <f>CR30+CV30</f>
        <v>0</v>
      </c>
      <c r="DA30" s="191">
        <f>CS30+CW30</f>
        <v>0</v>
      </c>
    </row>
    <row r="31" spans="1:105" s="144" customFormat="1" ht="14.25">
      <c r="A31" s="179" t="s">
        <v>32</v>
      </c>
      <c r="B31" s="185"/>
      <c r="C31" s="145"/>
      <c r="D31" s="145">
        <f t="shared" si="4"/>
        <v>0</v>
      </c>
      <c r="E31" s="146">
        <f t="shared" si="5"/>
        <v>0</v>
      </c>
      <c r="F31" s="186"/>
      <c r="G31" s="148"/>
      <c r="H31" s="148">
        <f t="shared" si="6"/>
        <v>0</v>
      </c>
      <c r="I31" s="149">
        <f t="shared" si="7"/>
        <v>0</v>
      </c>
      <c r="J31" s="187"/>
      <c r="K31" s="152"/>
      <c r="L31" s="152">
        <f t="shared" si="8"/>
        <v>0</v>
      </c>
      <c r="M31" s="153">
        <f t="shared" si="9"/>
        <v>0</v>
      </c>
      <c r="N31" s="187"/>
      <c r="O31" s="152"/>
      <c r="P31" s="152">
        <f t="shared" si="10"/>
        <v>0</v>
      </c>
      <c r="Q31" s="153">
        <f t="shared" si="11"/>
        <v>0</v>
      </c>
      <c r="R31" s="187"/>
      <c r="S31" s="152"/>
      <c r="T31" s="152">
        <f t="shared" si="12"/>
        <v>0</v>
      </c>
      <c r="U31" s="153">
        <f t="shared" si="13"/>
        <v>0</v>
      </c>
      <c r="V31" s="187"/>
      <c r="W31" s="152"/>
      <c r="X31" s="152">
        <f t="shared" si="14"/>
        <v>0</v>
      </c>
      <c r="Y31" s="153">
        <f t="shared" si="15"/>
        <v>0</v>
      </c>
      <c r="Z31" s="187"/>
      <c r="AA31" s="152"/>
      <c r="AB31" s="187">
        <f t="shared" si="16"/>
        <v>0</v>
      </c>
      <c r="AC31" s="1605">
        <f t="shared" si="17"/>
        <v>0</v>
      </c>
      <c r="AD31" s="186"/>
      <c r="AE31" s="148"/>
      <c r="AF31" s="148">
        <f t="shared" si="18"/>
        <v>0</v>
      </c>
      <c r="AG31" s="149">
        <f t="shared" si="19"/>
        <v>0</v>
      </c>
      <c r="AH31" s="147"/>
      <c r="AI31" s="148"/>
      <c r="AJ31" s="148">
        <f t="shared" si="20"/>
        <v>0</v>
      </c>
      <c r="AK31" s="149">
        <f t="shared" si="21"/>
        <v>0</v>
      </c>
      <c r="AL31" s="147"/>
      <c r="AM31" s="148"/>
      <c r="AN31" s="148">
        <f t="shared" si="22"/>
        <v>0</v>
      </c>
      <c r="AO31" s="149">
        <f t="shared" si="23"/>
        <v>0</v>
      </c>
      <c r="AP31" s="151"/>
      <c r="AQ31" s="152"/>
      <c r="AR31" s="152">
        <f t="shared" si="24"/>
        <v>0</v>
      </c>
      <c r="AS31" s="153">
        <f t="shared" si="25"/>
        <v>0</v>
      </c>
      <c r="AT31" s="147"/>
      <c r="AU31" s="148"/>
      <c r="AV31" s="148">
        <f t="shared" si="26"/>
        <v>0</v>
      </c>
      <c r="AW31" s="149">
        <f t="shared" si="27"/>
        <v>0</v>
      </c>
      <c r="AX31" s="154"/>
      <c r="AY31" s="155"/>
      <c r="AZ31" s="155">
        <f t="shared" si="28"/>
        <v>0</v>
      </c>
      <c r="BA31" s="156">
        <f t="shared" si="29"/>
        <v>0</v>
      </c>
      <c r="BB31" s="147"/>
      <c r="BC31" s="148"/>
      <c r="BD31" s="148">
        <f t="shared" si="30"/>
        <v>0</v>
      </c>
      <c r="BE31" s="149">
        <f t="shared" si="31"/>
        <v>0</v>
      </c>
      <c r="BF31" s="147"/>
      <c r="BG31" s="148"/>
      <c r="BH31" s="148">
        <f t="shared" si="32"/>
        <v>0</v>
      </c>
      <c r="BI31" s="149">
        <f t="shared" si="33"/>
        <v>0</v>
      </c>
      <c r="BJ31" s="147"/>
      <c r="BK31" s="148"/>
      <c r="BL31" s="148">
        <f t="shared" si="34"/>
        <v>0</v>
      </c>
      <c r="BM31" s="149">
        <f t="shared" si="35"/>
        <v>0</v>
      </c>
      <c r="BN31" s="147"/>
      <c r="BO31" s="148"/>
      <c r="BP31" s="148">
        <f t="shared" si="36"/>
        <v>0</v>
      </c>
      <c r="BQ31" s="148">
        <f t="shared" si="37"/>
        <v>0</v>
      </c>
      <c r="BR31" s="147"/>
      <c r="BS31" s="148"/>
      <c r="BT31" s="148">
        <f t="shared" si="53"/>
        <v>0</v>
      </c>
      <c r="BU31" s="149">
        <f t="shared" si="54"/>
        <v>0</v>
      </c>
      <c r="BV31" s="157"/>
      <c r="BW31" s="148"/>
      <c r="BX31" s="148"/>
      <c r="BY31" s="149"/>
      <c r="BZ31" s="151"/>
      <c r="CA31" s="152"/>
      <c r="CB31" s="152"/>
      <c r="CC31" s="153"/>
      <c r="CD31" s="323"/>
      <c r="CE31" s="173"/>
      <c r="CF31" s="173"/>
      <c r="CG31" s="1608"/>
      <c r="CH31" s="174"/>
      <c r="CI31" s="175"/>
      <c r="CJ31" s="175"/>
      <c r="CK31" s="176"/>
      <c r="CL31" s="151"/>
      <c r="CM31" s="152"/>
      <c r="CN31" s="152"/>
      <c r="CO31" s="153"/>
      <c r="CP31" s="177"/>
      <c r="CQ31" s="189"/>
      <c r="CR31" s="189"/>
      <c r="CS31" s="191"/>
      <c r="CT31" s="174"/>
      <c r="CU31" s="175"/>
      <c r="CV31" s="175"/>
      <c r="CW31" s="176"/>
      <c r="CX31" s="177"/>
      <c r="CY31" s="189"/>
      <c r="CZ31" s="189"/>
      <c r="DA31" s="191"/>
    </row>
    <row r="32" spans="1:105" s="144" customFormat="1" ht="14.25">
      <c r="A32" s="179" t="s">
        <v>49</v>
      </c>
      <c r="B32" s="185"/>
      <c r="C32" s="145"/>
      <c r="D32" s="145">
        <f t="shared" si="4"/>
        <v>0</v>
      </c>
      <c r="E32" s="146">
        <f t="shared" si="5"/>
        <v>0</v>
      </c>
      <c r="F32" s="186"/>
      <c r="G32" s="148"/>
      <c r="H32" s="148">
        <f t="shared" si="6"/>
        <v>0</v>
      </c>
      <c r="I32" s="149">
        <f t="shared" si="7"/>
        <v>0</v>
      </c>
      <c r="J32" s="187"/>
      <c r="K32" s="152"/>
      <c r="L32" s="152">
        <f t="shared" si="8"/>
        <v>0</v>
      </c>
      <c r="M32" s="153">
        <f t="shared" si="9"/>
        <v>0</v>
      </c>
      <c r="N32" s="187"/>
      <c r="O32" s="152"/>
      <c r="P32" s="152">
        <f t="shared" si="10"/>
        <v>0</v>
      </c>
      <c r="Q32" s="153">
        <f t="shared" si="11"/>
        <v>0</v>
      </c>
      <c r="R32" s="187"/>
      <c r="S32" s="152"/>
      <c r="T32" s="152">
        <f t="shared" si="12"/>
        <v>0</v>
      </c>
      <c r="U32" s="153">
        <f t="shared" si="13"/>
        <v>0</v>
      </c>
      <c r="V32" s="187"/>
      <c r="W32" s="152"/>
      <c r="X32" s="152">
        <f t="shared" si="14"/>
        <v>0</v>
      </c>
      <c r="Y32" s="153">
        <f t="shared" si="15"/>
        <v>0</v>
      </c>
      <c r="Z32" s="187"/>
      <c r="AA32" s="152"/>
      <c r="AB32" s="187">
        <f t="shared" si="16"/>
        <v>0</v>
      </c>
      <c r="AC32" s="1605">
        <f t="shared" si="17"/>
        <v>0</v>
      </c>
      <c r="AD32" s="186"/>
      <c r="AE32" s="148"/>
      <c r="AF32" s="148">
        <f t="shared" si="18"/>
        <v>0</v>
      </c>
      <c r="AG32" s="149">
        <f t="shared" si="19"/>
        <v>0</v>
      </c>
      <c r="AH32" s="147"/>
      <c r="AI32" s="148"/>
      <c r="AJ32" s="148">
        <f t="shared" si="20"/>
        <v>0</v>
      </c>
      <c r="AK32" s="149">
        <f t="shared" si="21"/>
        <v>0</v>
      </c>
      <c r="AL32" s="147"/>
      <c r="AM32" s="148"/>
      <c r="AN32" s="148">
        <f t="shared" si="22"/>
        <v>0</v>
      </c>
      <c r="AO32" s="149">
        <f t="shared" si="23"/>
        <v>0</v>
      </c>
      <c r="AP32" s="151"/>
      <c r="AQ32" s="152"/>
      <c r="AR32" s="152">
        <f t="shared" si="24"/>
        <v>0</v>
      </c>
      <c r="AS32" s="153">
        <f t="shared" si="25"/>
        <v>0</v>
      </c>
      <c r="AT32" s="147"/>
      <c r="AU32" s="148"/>
      <c r="AV32" s="148">
        <f t="shared" si="26"/>
        <v>0</v>
      </c>
      <c r="AW32" s="149">
        <f t="shared" si="27"/>
        <v>0</v>
      </c>
      <c r="AX32" s="154"/>
      <c r="AY32" s="155"/>
      <c r="AZ32" s="155">
        <f t="shared" si="28"/>
        <v>0</v>
      </c>
      <c r="BA32" s="156">
        <f t="shared" si="29"/>
        <v>0</v>
      </c>
      <c r="BB32" s="147"/>
      <c r="BC32" s="148"/>
      <c r="BD32" s="148">
        <f t="shared" si="30"/>
        <v>0</v>
      </c>
      <c r="BE32" s="149">
        <f t="shared" si="31"/>
        <v>0</v>
      </c>
      <c r="BF32" s="147"/>
      <c r="BG32" s="148"/>
      <c r="BH32" s="148">
        <f t="shared" si="32"/>
        <v>0</v>
      </c>
      <c r="BI32" s="149">
        <f t="shared" si="33"/>
        <v>0</v>
      </c>
      <c r="BJ32" s="147"/>
      <c r="BK32" s="148"/>
      <c r="BL32" s="148">
        <f t="shared" si="34"/>
        <v>0</v>
      </c>
      <c r="BM32" s="149">
        <f t="shared" si="35"/>
        <v>0</v>
      </c>
      <c r="BN32" s="147"/>
      <c r="BO32" s="148"/>
      <c r="BP32" s="148">
        <f t="shared" si="36"/>
        <v>0</v>
      </c>
      <c r="BQ32" s="148">
        <f t="shared" si="37"/>
        <v>0</v>
      </c>
      <c r="BR32" s="147"/>
      <c r="BS32" s="148"/>
      <c r="BT32" s="148">
        <f t="shared" si="53"/>
        <v>0</v>
      </c>
      <c r="BU32" s="149">
        <f t="shared" si="54"/>
        <v>0</v>
      </c>
      <c r="BV32" s="157"/>
      <c r="BW32" s="148"/>
      <c r="BX32" s="148"/>
      <c r="BY32" s="149"/>
      <c r="BZ32" s="151"/>
      <c r="CA32" s="152"/>
      <c r="CB32" s="152"/>
      <c r="CC32" s="153"/>
      <c r="CD32" s="323"/>
      <c r="CE32" s="173"/>
      <c r="CF32" s="173"/>
      <c r="CG32" s="1608"/>
      <c r="CH32" s="174"/>
      <c r="CI32" s="175"/>
      <c r="CJ32" s="175"/>
      <c r="CK32" s="176"/>
      <c r="CL32" s="151"/>
      <c r="CM32" s="152"/>
      <c r="CN32" s="152"/>
      <c r="CO32" s="153"/>
      <c r="CP32" s="177"/>
      <c r="CQ32" s="189"/>
      <c r="CR32" s="189"/>
      <c r="CS32" s="191"/>
      <c r="CT32" s="174"/>
      <c r="CU32" s="175"/>
      <c r="CV32" s="175"/>
      <c r="CW32" s="176"/>
      <c r="CX32" s="177"/>
      <c r="CY32" s="189"/>
      <c r="CZ32" s="189"/>
      <c r="DA32" s="191"/>
    </row>
    <row r="33" spans="1:105" s="144" customFormat="1" ht="15" thickBot="1">
      <c r="A33" s="235" t="s">
        <v>53</v>
      </c>
      <c r="B33" s="199"/>
      <c r="C33" s="200"/>
      <c r="D33" s="145">
        <f t="shared" si="4"/>
        <v>0</v>
      </c>
      <c r="E33" s="146">
        <f t="shared" si="5"/>
        <v>0</v>
      </c>
      <c r="F33" s="201"/>
      <c r="G33" s="202"/>
      <c r="H33" s="148">
        <f t="shared" si="6"/>
        <v>0</v>
      </c>
      <c r="I33" s="149">
        <f t="shared" si="7"/>
        <v>0</v>
      </c>
      <c r="J33" s="204"/>
      <c r="K33" s="205"/>
      <c r="L33" s="152">
        <f t="shared" si="8"/>
        <v>0</v>
      </c>
      <c r="M33" s="153">
        <f t="shared" si="9"/>
        <v>0</v>
      </c>
      <c r="N33" s="204"/>
      <c r="O33" s="205"/>
      <c r="P33" s="152">
        <f t="shared" si="10"/>
        <v>0</v>
      </c>
      <c r="Q33" s="153">
        <f t="shared" si="11"/>
        <v>0</v>
      </c>
      <c r="R33" s="204"/>
      <c r="S33" s="205"/>
      <c r="T33" s="152">
        <f t="shared" si="12"/>
        <v>0</v>
      </c>
      <c r="U33" s="153">
        <f t="shared" si="13"/>
        <v>0</v>
      </c>
      <c r="V33" s="204"/>
      <c r="W33" s="205"/>
      <c r="X33" s="152">
        <f t="shared" si="14"/>
        <v>0</v>
      </c>
      <c r="Y33" s="153">
        <f t="shared" si="15"/>
        <v>0</v>
      </c>
      <c r="Z33" s="204"/>
      <c r="AA33" s="205"/>
      <c r="AB33" s="187">
        <f t="shared" si="16"/>
        <v>0</v>
      </c>
      <c r="AC33" s="1605">
        <f t="shared" si="17"/>
        <v>0</v>
      </c>
      <c r="AD33" s="201"/>
      <c r="AE33" s="202"/>
      <c r="AF33" s="148">
        <f t="shared" si="18"/>
        <v>0</v>
      </c>
      <c r="AG33" s="149">
        <f t="shared" si="19"/>
        <v>0</v>
      </c>
      <c r="AH33" s="207"/>
      <c r="AI33" s="202"/>
      <c r="AJ33" s="148">
        <f t="shared" si="20"/>
        <v>0</v>
      </c>
      <c r="AK33" s="149">
        <f t="shared" si="21"/>
        <v>0</v>
      </c>
      <c r="AL33" s="207"/>
      <c r="AM33" s="202"/>
      <c r="AN33" s="148">
        <f t="shared" si="22"/>
        <v>0</v>
      </c>
      <c r="AO33" s="149">
        <f t="shared" si="23"/>
        <v>0</v>
      </c>
      <c r="AP33" s="208"/>
      <c r="AQ33" s="205"/>
      <c r="AR33" s="152">
        <f t="shared" si="24"/>
        <v>0</v>
      </c>
      <c r="AS33" s="153">
        <f t="shared" si="25"/>
        <v>0</v>
      </c>
      <c r="AT33" s="207"/>
      <c r="AU33" s="202"/>
      <c r="AV33" s="148">
        <f t="shared" si="26"/>
        <v>0</v>
      </c>
      <c r="AW33" s="149">
        <f t="shared" si="27"/>
        <v>0</v>
      </c>
      <c r="AX33" s="210"/>
      <c r="AY33" s="211"/>
      <c r="AZ33" s="155">
        <f t="shared" si="28"/>
        <v>0</v>
      </c>
      <c r="BA33" s="156">
        <f t="shared" si="29"/>
        <v>0</v>
      </c>
      <c r="BB33" s="207"/>
      <c r="BC33" s="202"/>
      <c r="BD33" s="148">
        <f t="shared" si="30"/>
        <v>0</v>
      </c>
      <c r="BE33" s="149">
        <f t="shared" si="31"/>
        <v>0</v>
      </c>
      <c r="BF33" s="207"/>
      <c r="BG33" s="202"/>
      <c r="BH33" s="148">
        <f t="shared" si="32"/>
        <v>0</v>
      </c>
      <c r="BI33" s="149">
        <f t="shared" si="33"/>
        <v>0</v>
      </c>
      <c r="BJ33" s="207"/>
      <c r="BK33" s="202"/>
      <c r="BL33" s="148">
        <f t="shared" si="34"/>
        <v>0</v>
      </c>
      <c r="BM33" s="149">
        <f t="shared" si="35"/>
        <v>0</v>
      </c>
      <c r="BN33" s="207"/>
      <c r="BO33" s="202"/>
      <c r="BP33" s="148">
        <f t="shared" si="36"/>
        <v>0</v>
      </c>
      <c r="BQ33" s="148">
        <f t="shared" si="37"/>
        <v>0</v>
      </c>
      <c r="BR33" s="207"/>
      <c r="BS33" s="202"/>
      <c r="BT33" s="148">
        <f t="shared" si="53"/>
        <v>0</v>
      </c>
      <c r="BU33" s="149">
        <f t="shared" si="54"/>
        <v>0</v>
      </c>
      <c r="BV33" s="212"/>
      <c r="BW33" s="202"/>
      <c r="BX33" s="202"/>
      <c r="BY33" s="206"/>
      <c r="BZ33" s="333"/>
      <c r="CA33" s="334"/>
      <c r="CB33" s="334"/>
      <c r="CC33" s="335"/>
      <c r="CD33" s="324"/>
      <c r="CE33" s="213"/>
      <c r="CF33" s="213"/>
      <c r="CG33" s="1609"/>
      <c r="CH33" s="215"/>
      <c r="CI33" s="216"/>
      <c r="CJ33" s="216"/>
      <c r="CK33" s="683"/>
      <c r="CL33" s="208"/>
      <c r="CM33" s="205"/>
      <c r="CN33" s="205"/>
      <c r="CO33" s="203"/>
      <c r="CP33" s="218"/>
      <c r="CQ33" s="219"/>
      <c r="CR33" s="219"/>
      <c r="CS33" s="221"/>
      <c r="CT33" s="215"/>
      <c r="CU33" s="216"/>
      <c r="CV33" s="216"/>
      <c r="CW33" s="683"/>
      <c r="CX33" s="218"/>
      <c r="CY33" s="219"/>
      <c r="CZ33" s="219"/>
      <c r="DA33" s="221"/>
    </row>
    <row r="34" spans="1:105" s="899" customFormat="1" ht="15" thickBot="1">
      <c r="A34" s="985" t="s">
        <v>54</v>
      </c>
      <c r="B34" s="991">
        <f>SUM(B6:B33)</f>
        <v>13869858</v>
      </c>
      <c r="C34" s="992">
        <f aca="true" t="shared" si="57" ref="C34:BJ34">SUM(C6:C33)</f>
        <v>11822616</v>
      </c>
      <c r="D34" s="992">
        <f t="shared" si="57"/>
        <v>13869858</v>
      </c>
      <c r="E34" s="993">
        <f t="shared" si="57"/>
        <v>11822616</v>
      </c>
      <c r="F34" s="969">
        <f t="shared" si="57"/>
        <v>719950</v>
      </c>
      <c r="G34" s="976">
        <f t="shared" si="57"/>
        <v>753674</v>
      </c>
      <c r="H34" s="976">
        <f t="shared" si="57"/>
        <v>719950</v>
      </c>
      <c r="I34" s="977">
        <f t="shared" si="57"/>
        <v>753674</v>
      </c>
      <c r="J34" s="883">
        <f t="shared" si="57"/>
        <v>2430060</v>
      </c>
      <c r="K34" s="897">
        <f t="shared" si="57"/>
        <v>2480740</v>
      </c>
      <c r="L34" s="897">
        <f t="shared" si="57"/>
        <v>2430060</v>
      </c>
      <c r="M34" s="970">
        <f t="shared" si="57"/>
        <v>2480740</v>
      </c>
      <c r="N34" s="883">
        <f t="shared" si="57"/>
        <v>13046569</v>
      </c>
      <c r="O34" s="880">
        <f t="shared" si="57"/>
        <v>11717172</v>
      </c>
      <c r="P34" s="880">
        <f t="shared" si="57"/>
        <v>13046569</v>
      </c>
      <c r="Q34" s="882">
        <f t="shared" si="57"/>
        <v>11717172</v>
      </c>
      <c r="R34" s="883">
        <f t="shared" si="57"/>
        <v>871501</v>
      </c>
      <c r="S34" s="897">
        <f t="shared" si="57"/>
        <v>1088865</v>
      </c>
      <c r="T34" s="897">
        <f t="shared" si="57"/>
        <v>871501</v>
      </c>
      <c r="U34" s="970">
        <f t="shared" si="57"/>
        <v>1088865</v>
      </c>
      <c r="V34" s="883">
        <f t="shared" si="57"/>
        <v>3459672</v>
      </c>
      <c r="W34" s="880">
        <f t="shared" si="57"/>
        <v>4235447</v>
      </c>
      <c r="X34" s="880">
        <f t="shared" si="57"/>
        <v>3459672</v>
      </c>
      <c r="Y34" s="882">
        <f t="shared" si="57"/>
        <v>4235447</v>
      </c>
      <c r="Z34" s="883">
        <f t="shared" si="57"/>
        <v>855696</v>
      </c>
      <c r="AA34" s="880">
        <f t="shared" si="57"/>
        <v>747076</v>
      </c>
      <c r="AB34" s="880">
        <f t="shared" si="57"/>
        <v>855696</v>
      </c>
      <c r="AC34" s="882">
        <f t="shared" si="57"/>
        <v>747076</v>
      </c>
      <c r="AD34" s="883">
        <f t="shared" si="57"/>
        <v>151421</v>
      </c>
      <c r="AE34" s="880">
        <f t="shared" si="57"/>
        <v>141301</v>
      </c>
      <c r="AF34" s="880">
        <f t="shared" si="57"/>
        <v>151421</v>
      </c>
      <c r="AG34" s="882">
        <f t="shared" si="57"/>
        <v>141301</v>
      </c>
      <c r="AH34" s="880">
        <f t="shared" si="57"/>
        <v>3131549</v>
      </c>
      <c r="AI34" s="880">
        <f t="shared" si="57"/>
        <v>2831453</v>
      </c>
      <c r="AJ34" s="880">
        <f t="shared" si="57"/>
        <v>3131549</v>
      </c>
      <c r="AK34" s="882">
        <f t="shared" si="57"/>
        <v>2831453</v>
      </c>
      <c r="AL34" s="880">
        <f t="shared" si="57"/>
        <v>887118</v>
      </c>
      <c r="AM34" s="880">
        <f t="shared" si="57"/>
        <v>753873</v>
      </c>
      <c r="AN34" s="880">
        <f t="shared" si="57"/>
        <v>887118</v>
      </c>
      <c r="AO34" s="882">
        <f t="shared" si="57"/>
        <v>753873</v>
      </c>
      <c r="AP34" s="880">
        <f t="shared" si="57"/>
        <v>35151663</v>
      </c>
      <c r="AQ34" s="880">
        <f t="shared" si="57"/>
        <v>28671083</v>
      </c>
      <c r="AR34" s="880">
        <f t="shared" si="57"/>
        <v>35151663</v>
      </c>
      <c r="AS34" s="882">
        <f t="shared" si="57"/>
        <v>28671083</v>
      </c>
      <c r="AT34" s="880">
        <f t="shared" si="57"/>
        <v>36279743</v>
      </c>
      <c r="AU34" s="880">
        <f t="shared" si="57"/>
        <v>29234407</v>
      </c>
      <c r="AV34" s="880">
        <f t="shared" si="57"/>
        <v>36279743</v>
      </c>
      <c r="AW34" s="882">
        <f t="shared" si="57"/>
        <v>29234407</v>
      </c>
      <c r="AX34" s="880">
        <f t="shared" si="57"/>
        <v>1013291</v>
      </c>
      <c r="AY34" s="880">
        <f t="shared" si="57"/>
        <v>903267</v>
      </c>
      <c r="AZ34" s="880">
        <f t="shared" si="57"/>
        <v>1013291</v>
      </c>
      <c r="BA34" s="882">
        <f t="shared" si="57"/>
        <v>903267</v>
      </c>
      <c r="BB34" s="880">
        <f t="shared" si="57"/>
        <v>10503929</v>
      </c>
      <c r="BC34" s="880">
        <f t="shared" si="57"/>
        <v>2842913</v>
      </c>
      <c r="BD34" s="880">
        <f t="shared" si="57"/>
        <v>10503929</v>
      </c>
      <c r="BE34" s="882">
        <f t="shared" si="57"/>
        <v>2842913</v>
      </c>
      <c r="BF34" s="880">
        <f t="shared" si="57"/>
        <v>6582675</v>
      </c>
      <c r="BG34" s="880">
        <f t="shared" si="57"/>
        <v>6621878</v>
      </c>
      <c r="BH34" s="880">
        <f t="shared" si="57"/>
        <v>6582675</v>
      </c>
      <c r="BI34" s="882">
        <f t="shared" si="57"/>
        <v>6621878</v>
      </c>
      <c r="BJ34" s="880">
        <f t="shared" si="57"/>
        <v>16500633</v>
      </c>
      <c r="BK34" s="897">
        <f>SUM(BK6:BK33)</f>
        <v>11792123</v>
      </c>
      <c r="BL34" s="897">
        <f aca="true" t="shared" si="58" ref="BL34:CO34">SUM(BL6:BL33)</f>
        <v>16500633</v>
      </c>
      <c r="BM34" s="970">
        <f t="shared" si="58"/>
        <v>11792123</v>
      </c>
      <c r="BN34" s="880">
        <f t="shared" si="58"/>
        <v>5628952</v>
      </c>
      <c r="BO34" s="880">
        <f t="shared" si="58"/>
        <v>4591006</v>
      </c>
      <c r="BP34" s="880">
        <f t="shared" si="58"/>
        <v>5628952</v>
      </c>
      <c r="BQ34" s="882">
        <f t="shared" si="58"/>
        <v>4591006</v>
      </c>
      <c r="BR34" s="880">
        <f t="shared" si="58"/>
        <v>6501898</v>
      </c>
      <c r="BS34" s="880">
        <f t="shared" si="58"/>
        <v>6697910</v>
      </c>
      <c r="BT34" s="880">
        <f t="shared" si="58"/>
        <v>6501898</v>
      </c>
      <c r="BU34" s="882">
        <f t="shared" si="58"/>
        <v>6697910</v>
      </c>
      <c r="BV34" s="881">
        <f t="shared" si="58"/>
        <v>0</v>
      </c>
      <c r="BW34" s="881">
        <f t="shared" si="58"/>
        <v>0</v>
      </c>
      <c r="BX34" s="881">
        <f t="shared" si="58"/>
        <v>0</v>
      </c>
      <c r="BY34" s="882">
        <f t="shared" si="58"/>
        <v>0</v>
      </c>
      <c r="BZ34" s="881">
        <f t="shared" si="58"/>
        <v>28538347</v>
      </c>
      <c r="CA34" s="881">
        <f t="shared" si="58"/>
        <v>21584719</v>
      </c>
      <c r="CB34" s="881">
        <f t="shared" si="58"/>
        <v>28538347</v>
      </c>
      <c r="CC34" s="882">
        <f t="shared" si="58"/>
        <v>21584719</v>
      </c>
      <c r="CD34" s="1606">
        <f t="shared" si="58"/>
        <v>1250896</v>
      </c>
      <c r="CE34" s="881">
        <f t="shared" si="58"/>
        <v>1140495</v>
      </c>
      <c r="CF34" s="881">
        <f t="shared" si="58"/>
        <v>1250896</v>
      </c>
      <c r="CG34" s="882">
        <f t="shared" si="58"/>
        <v>1140495</v>
      </c>
      <c r="CH34" s="881">
        <f t="shared" si="58"/>
        <v>1781069</v>
      </c>
      <c r="CI34" s="881">
        <f t="shared" si="58"/>
        <v>1756702</v>
      </c>
      <c r="CJ34" s="881">
        <f t="shared" si="58"/>
        <v>1781069</v>
      </c>
      <c r="CK34" s="882">
        <f t="shared" si="58"/>
        <v>1756702</v>
      </c>
      <c r="CL34" s="881">
        <f t="shared" si="58"/>
        <v>4987334</v>
      </c>
      <c r="CM34" s="881">
        <f t="shared" si="58"/>
        <v>4108144</v>
      </c>
      <c r="CN34" s="881">
        <f t="shared" si="58"/>
        <v>4987334</v>
      </c>
      <c r="CO34" s="882">
        <f t="shared" si="58"/>
        <v>4108144</v>
      </c>
      <c r="CP34" s="886">
        <f>SUM(B34+F34+J34+N34+R34+V34+Z34+AD34+AH34+AL34+AP34+AT34+AX34+BB34+BF34+BJ34+BN34+BR34+BV34+BZ34+CD34+CH34+CL34)</f>
        <v>194143824</v>
      </c>
      <c r="CQ34" s="887">
        <f>SUM(C34+G34+K34+O34+S34+W34+AA34+AE34+AI34+AM34+AQ34+AU34+AY34+BC34+BG34+BK34+BO34+BS34+BW34+CA34+CE34+CI34+CM34)</f>
        <v>156516864</v>
      </c>
      <c r="CR34" s="887">
        <f>SUM(D34+H34+L34+P34+T34+X34+AB34+AF34+AJ34+AN34+AR34+AV34+AZ34+BD34+BH34+BL34+BP34+BT34+BX34+CB34+CF34+CJ34+CN34)</f>
        <v>194143824</v>
      </c>
      <c r="CS34" s="898">
        <f>SUM(E34+I34+M34+Q34+U34+Y34+AC34+AG34+AK34+AO34+AS34+AW34+BA34+BE34+BI34+BM34+BQ34+BU34+BY34+CC34+CG34+CK34+CO34)</f>
        <v>156516864</v>
      </c>
      <c r="CT34" s="958">
        <f>SUM(CT6:CT33)</f>
        <v>468470495</v>
      </c>
      <c r="CU34" s="959">
        <f>SUM(CU6:CU33)</f>
        <v>512876426</v>
      </c>
      <c r="CV34" s="959">
        <f>SUM(CV6:CV33)</f>
        <v>468470495</v>
      </c>
      <c r="CW34" s="960">
        <f>SUM(CW6:CW33)</f>
        <v>512876426</v>
      </c>
      <c r="CX34" s="887">
        <f>CP34+CT34</f>
        <v>662614319</v>
      </c>
      <c r="CY34" s="887">
        <f>CQ34+CU34</f>
        <v>669393290</v>
      </c>
      <c r="CZ34" s="887">
        <f>CR34+CV34</f>
        <v>662614319</v>
      </c>
      <c r="DA34" s="898">
        <f>CS34+CW34</f>
        <v>669393290</v>
      </c>
    </row>
    <row r="35" spans="1:105" s="144" customFormat="1" ht="15" thickBot="1">
      <c r="A35" s="986" t="s">
        <v>55</v>
      </c>
      <c r="B35" s="978"/>
      <c r="C35" s="979"/>
      <c r="D35" s="979"/>
      <c r="E35" s="994"/>
      <c r="F35" s="988"/>
      <c r="G35" s="979"/>
      <c r="H35" s="979"/>
      <c r="I35" s="962"/>
      <c r="J35" s="973"/>
      <c r="K35" s="971"/>
      <c r="L35" s="971"/>
      <c r="M35" s="972"/>
      <c r="N35" s="226"/>
      <c r="O35" s="226"/>
      <c r="P35" s="226"/>
      <c r="Q35" s="225"/>
      <c r="R35" s="973"/>
      <c r="S35" s="971"/>
      <c r="T35" s="971"/>
      <c r="U35" s="972"/>
      <c r="V35" s="226"/>
      <c r="W35" s="226"/>
      <c r="X35" s="226"/>
      <c r="Y35" s="225"/>
      <c r="Z35" s="226"/>
      <c r="AA35" s="226"/>
      <c r="AB35" s="226"/>
      <c r="AC35" s="225"/>
      <c r="AD35" s="223"/>
      <c r="AE35" s="223"/>
      <c r="AF35" s="223"/>
      <c r="AG35" s="224"/>
      <c r="AH35" s="222"/>
      <c r="AI35" s="223"/>
      <c r="AJ35" s="223"/>
      <c r="AK35" s="224"/>
      <c r="AL35" s="222"/>
      <c r="AM35" s="223"/>
      <c r="AN35" s="223"/>
      <c r="AO35" s="224"/>
      <c r="AP35" s="227"/>
      <c r="AQ35" s="226"/>
      <c r="AR35" s="226"/>
      <c r="AS35" s="225"/>
      <c r="AT35" s="222"/>
      <c r="AU35" s="223"/>
      <c r="AV35" s="223"/>
      <c r="AW35" s="224"/>
      <c r="AX35" s="222"/>
      <c r="AY35" s="223"/>
      <c r="AZ35" s="223"/>
      <c r="BA35" s="224"/>
      <c r="BB35" s="222"/>
      <c r="BC35" s="223"/>
      <c r="BD35" s="223"/>
      <c r="BE35" s="224"/>
      <c r="BF35" s="222"/>
      <c r="BG35" s="223"/>
      <c r="BH35" s="223"/>
      <c r="BI35" s="224"/>
      <c r="BJ35" s="222"/>
      <c r="BK35" s="223"/>
      <c r="BL35" s="223"/>
      <c r="BM35" s="224"/>
      <c r="BN35" s="222"/>
      <c r="BO35" s="223"/>
      <c r="BP35" s="223"/>
      <c r="BQ35" s="224"/>
      <c r="BR35" s="222"/>
      <c r="BS35" s="223"/>
      <c r="BT35" s="223"/>
      <c r="BU35" s="224"/>
      <c r="BV35" s="336"/>
      <c r="BW35" s="337"/>
      <c r="BX35" s="337"/>
      <c r="BY35" s="338"/>
      <c r="BZ35" s="226"/>
      <c r="CA35" s="226"/>
      <c r="CB35" s="226"/>
      <c r="CC35" s="225"/>
      <c r="CD35" s="226"/>
      <c r="CE35" s="226"/>
      <c r="CF35" s="226"/>
      <c r="CG35" s="225"/>
      <c r="CH35" s="227"/>
      <c r="CI35" s="226"/>
      <c r="CJ35" s="226"/>
      <c r="CK35" s="225"/>
      <c r="CL35" s="227"/>
      <c r="CM35" s="226"/>
      <c r="CN35" s="226"/>
      <c r="CO35" s="225"/>
      <c r="CP35" s="228"/>
      <c r="CQ35" s="229"/>
      <c r="CR35" s="229"/>
      <c r="CS35" s="230"/>
      <c r="CT35" s="963"/>
      <c r="CU35" s="964"/>
      <c r="CV35" s="964"/>
      <c r="CW35" s="965"/>
      <c r="CX35" s="229"/>
      <c r="CY35" s="229"/>
      <c r="CZ35" s="229"/>
      <c r="DA35" s="230"/>
    </row>
    <row r="36" spans="1:105" s="144" customFormat="1" ht="15" thickBot="1">
      <c r="A36" s="986" t="s">
        <v>56</v>
      </c>
      <c r="B36" s="980">
        <f>B34</f>
        <v>13869858</v>
      </c>
      <c r="C36" s="981">
        <f aca="true" t="shared" si="59" ref="C36:BO36">C34</f>
        <v>11822616</v>
      </c>
      <c r="D36" s="981">
        <f t="shared" si="59"/>
        <v>13869858</v>
      </c>
      <c r="E36" s="995">
        <f t="shared" si="59"/>
        <v>11822616</v>
      </c>
      <c r="F36" s="989">
        <f t="shared" si="59"/>
        <v>719950</v>
      </c>
      <c r="G36" s="981">
        <f t="shared" si="59"/>
        <v>753674</v>
      </c>
      <c r="H36" s="981">
        <f t="shared" si="59"/>
        <v>719950</v>
      </c>
      <c r="I36" s="972">
        <f t="shared" si="59"/>
        <v>753674</v>
      </c>
      <c r="J36" s="974">
        <f t="shared" si="59"/>
        <v>2430060</v>
      </c>
      <c r="K36" s="961">
        <f t="shared" si="59"/>
        <v>2480740</v>
      </c>
      <c r="L36" s="961">
        <f t="shared" si="59"/>
        <v>2430060</v>
      </c>
      <c r="M36" s="962">
        <f t="shared" si="59"/>
        <v>2480740</v>
      </c>
      <c r="N36" s="226">
        <f t="shared" si="59"/>
        <v>13046569</v>
      </c>
      <c r="O36" s="226">
        <f t="shared" si="59"/>
        <v>11717172</v>
      </c>
      <c r="P36" s="226">
        <f t="shared" si="59"/>
        <v>13046569</v>
      </c>
      <c r="Q36" s="225">
        <f t="shared" si="59"/>
        <v>11717172</v>
      </c>
      <c r="R36" s="974">
        <f t="shared" si="59"/>
        <v>871501</v>
      </c>
      <c r="S36" s="961">
        <f t="shared" si="59"/>
        <v>1088865</v>
      </c>
      <c r="T36" s="961">
        <f t="shared" si="59"/>
        <v>871501</v>
      </c>
      <c r="U36" s="962">
        <f t="shared" si="59"/>
        <v>1088865</v>
      </c>
      <c r="V36" s="226">
        <f t="shared" si="59"/>
        <v>3459672</v>
      </c>
      <c r="W36" s="226">
        <f t="shared" si="59"/>
        <v>4235447</v>
      </c>
      <c r="X36" s="226">
        <f t="shared" si="59"/>
        <v>3459672</v>
      </c>
      <c r="Y36" s="225">
        <f t="shared" si="59"/>
        <v>4235447</v>
      </c>
      <c r="Z36" s="226">
        <f t="shared" si="59"/>
        <v>855696</v>
      </c>
      <c r="AA36" s="226">
        <f t="shared" si="59"/>
        <v>747076</v>
      </c>
      <c r="AB36" s="226">
        <f t="shared" si="59"/>
        <v>855696</v>
      </c>
      <c r="AC36" s="225">
        <f t="shared" si="59"/>
        <v>747076</v>
      </c>
      <c r="AD36" s="226">
        <f t="shared" si="59"/>
        <v>151421</v>
      </c>
      <c r="AE36" s="226">
        <f t="shared" si="59"/>
        <v>141301</v>
      </c>
      <c r="AF36" s="226">
        <f t="shared" si="59"/>
        <v>151421</v>
      </c>
      <c r="AG36" s="225">
        <f t="shared" si="59"/>
        <v>141301</v>
      </c>
      <c r="AH36" s="227">
        <f t="shared" si="59"/>
        <v>3131549</v>
      </c>
      <c r="AI36" s="226">
        <f t="shared" si="59"/>
        <v>2831453</v>
      </c>
      <c r="AJ36" s="226">
        <f t="shared" si="59"/>
        <v>3131549</v>
      </c>
      <c r="AK36" s="225">
        <f t="shared" si="59"/>
        <v>2831453</v>
      </c>
      <c r="AL36" s="227">
        <f t="shared" si="59"/>
        <v>887118</v>
      </c>
      <c r="AM36" s="226">
        <f t="shared" si="59"/>
        <v>753873</v>
      </c>
      <c r="AN36" s="226">
        <f t="shared" si="59"/>
        <v>887118</v>
      </c>
      <c r="AO36" s="225">
        <f t="shared" si="59"/>
        <v>753873</v>
      </c>
      <c r="AP36" s="227">
        <f t="shared" si="59"/>
        <v>35151663</v>
      </c>
      <c r="AQ36" s="226">
        <f t="shared" si="59"/>
        <v>28671083</v>
      </c>
      <c r="AR36" s="226">
        <f t="shared" si="59"/>
        <v>35151663</v>
      </c>
      <c r="AS36" s="225">
        <f t="shared" si="59"/>
        <v>28671083</v>
      </c>
      <c r="AT36" s="227">
        <v>37753202</v>
      </c>
      <c r="AU36" s="226">
        <v>30099123</v>
      </c>
      <c r="AV36" s="226"/>
      <c r="AW36" s="225"/>
      <c r="AX36" s="227">
        <f t="shared" si="59"/>
        <v>1013291</v>
      </c>
      <c r="AY36" s="226">
        <f t="shared" si="59"/>
        <v>903267</v>
      </c>
      <c r="AZ36" s="226">
        <f t="shared" si="59"/>
        <v>1013291</v>
      </c>
      <c r="BA36" s="225">
        <f t="shared" si="59"/>
        <v>903267</v>
      </c>
      <c r="BB36" s="227">
        <f t="shared" si="59"/>
        <v>10503929</v>
      </c>
      <c r="BC36" s="226">
        <f t="shared" si="59"/>
        <v>2842913</v>
      </c>
      <c r="BD36" s="226">
        <f t="shared" si="59"/>
        <v>10503929</v>
      </c>
      <c r="BE36" s="225">
        <f t="shared" si="59"/>
        <v>2842913</v>
      </c>
      <c r="BF36" s="227">
        <f t="shared" si="59"/>
        <v>6582675</v>
      </c>
      <c r="BG36" s="226">
        <f t="shared" si="59"/>
        <v>6621878</v>
      </c>
      <c r="BH36" s="226">
        <f t="shared" si="59"/>
        <v>6582675</v>
      </c>
      <c r="BI36" s="225">
        <f t="shared" si="59"/>
        <v>6621878</v>
      </c>
      <c r="BJ36" s="227">
        <f t="shared" si="59"/>
        <v>16500633</v>
      </c>
      <c r="BK36" s="226">
        <f t="shared" si="59"/>
        <v>11792123</v>
      </c>
      <c r="BL36" s="226">
        <f t="shared" si="59"/>
        <v>16500633</v>
      </c>
      <c r="BM36" s="225">
        <f t="shared" si="59"/>
        <v>11792123</v>
      </c>
      <c r="BN36" s="227">
        <f t="shared" si="59"/>
        <v>5628952</v>
      </c>
      <c r="BO36" s="226">
        <f t="shared" si="59"/>
        <v>4591006</v>
      </c>
      <c r="BP36" s="226">
        <f aca="true" t="shared" si="60" ref="BP36:BU36">BP34</f>
        <v>5628952</v>
      </c>
      <c r="BQ36" s="225">
        <f t="shared" si="60"/>
        <v>4591006</v>
      </c>
      <c r="BR36" s="227">
        <f t="shared" si="60"/>
        <v>6501898</v>
      </c>
      <c r="BS36" s="226">
        <f t="shared" si="60"/>
        <v>6697910</v>
      </c>
      <c r="BT36" s="168">
        <f t="shared" si="60"/>
        <v>6501898</v>
      </c>
      <c r="BU36" s="169">
        <f t="shared" si="60"/>
        <v>6697910</v>
      </c>
      <c r="BV36" s="336"/>
      <c r="BW36" s="337"/>
      <c r="BX36" s="337"/>
      <c r="BY36" s="338"/>
      <c r="BZ36" s="226">
        <f>BZ34</f>
        <v>28538347</v>
      </c>
      <c r="CA36" s="226">
        <f>CA34</f>
        <v>21584719</v>
      </c>
      <c r="CB36" s="226">
        <f aca="true" t="shared" si="61" ref="CB36:CO36">CB34</f>
        <v>28538347</v>
      </c>
      <c r="CC36" s="225">
        <f t="shared" si="61"/>
        <v>21584719</v>
      </c>
      <c r="CD36" s="226">
        <f t="shared" si="61"/>
        <v>1250896</v>
      </c>
      <c r="CE36" s="226">
        <f t="shared" si="61"/>
        <v>1140495</v>
      </c>
      <c r="CF36" s="226">
        <f t="shared" si="61"/>
        <v>1250896</v>
      </c>
      <c r="CG36" s="225">
        <f t="shared" si="61"/>
        <v>1140495</v>
      </c>
      <c r="CH36" s="227">
        <f t="shared" si="61"/>
        <v>1781069</v>
      </c>
      <c r="CI36" s="226">
        <f t="shared" si="61"/>
        <v>1756702</v>
      </c>
      <c r="CJ36" s="226">
        <f t="shared" si="61"/>
        <v>1781069</v>
      </c>
      <c r="CK36" s="225">
        <f t="shared" si="61"/>
        <v>1756702</v>
      </c>
      <c r="CL36" s="227">
        <f t="shared" si="61"/>
        <v>4987334</v>
      </c>
      <c r="CM36" s="226">
        <f t="shared" si="61"/>
        <v>4108144</v>
      </c>
      <c r="CN36" s="226">
        <f t="shared" si="61"/>
        <v>4987334</v>
      </c>
      <c r="CO36" s="225">
        <f t="shared" si="61"/>
        <v>4108144</v>
      </c>
      <c r="CP36" s="228">
        <f>SUM(B36+F36+J36+N36+R36+V36+Z36+AD36+AH36+AL36+AP36+AT36+AX36+BB36+BF36+BJ36+BN36+BR36+BV36+BZ36+CD36+CH36+CL36)</f>
        <v>195617283</v>
      </c>
      <c r="CQ36" s="229">
        <f>SUM(C36+G36+K36+O36+S36+W36+AA36+AE36+AI36+AM36+AQ36+AU36+AY36+BC36+BG36+BK36+BO36+BS36+BW36+CA36+CE36+CI36+CM36)</f>
        <v>157381580</v>
      </c>
      <c r="CR36" s="229">
        <f>SUM(D36+H36+L36+P36+T36+X36+AB36+AF36+AJ36+AN36+AR36+AV36+AZ36+BD36+BH36+BL36+BP36+BT36+BX36+CB36+CF36+CJ36+CN36)</f>
        <v>157864081</v>
      </c>
      <c r="CS36" s="230">
        <f>SUM(E36+I36+M36+Q36+U36+Y36+AC36+AG36+AK36+AO36+AS36+AW36+BA36+BE36+BI36+BM36+BQ36+BU36+BY36+CC36+CG36+CK36+CO36)</f>
        <v>127282457</v>
      </c>
      <c r="CT36" s="963">
        <f>CT34</f>
        <v>468470495</v>
      </c>
      <c r="CU36" s="964">
        <f>CU34</f>
        <v>512876426</v>
      </c>
      <c r="CV36" s="964">
        <f>CV34</f>
        <v>468470495</v>
      </c>
      <c r="CW36" s="965">
        <f>CW34</f>
        <v>512876426</v>
      </c>
      <c r="CX36" s="229">
        <f>CP36+CT36</f>
        <v>664087778</v>
      </c>
      <c r="CY36" s="229">
        <f>CQ36+CU36</f>
        <v>670258006</v>
      </c>
      <c r="CZ36" s="229">
        <f>CR36+CV36</f>
        <v>626334576</v>
      </c>
      <c r="DA36" s="230">
        <f>CS36+CW36</f>
        <v>640158883</v>
      </c>
    </row>
    <row r="37" spans="1:105" s="144" customFormat="1" ht="15" thickBot="1">
      <c r="A37" s="987" t="s">
        <v>57</v>
      </c>
      <c r="B37" s="978"/>
      <c r="C37" s="979"/>
      <c r="D37" s="979"/>
      <c r="E37" s="994"/>
      <c r="F37" s="988"/>
      <c r="G37" s="979"/>
      <c r="H37" s="979"/>
      <c r="I37" s="962"/>
      <c r="J37" s="973"/>
      <c r="K37" s="971"/>
      <c r="L37" s="971"/>
      <c r="M37" s="972"/>
      <c r="N37" s="168"/>
      <c r="O37" s="168"/>
      <c r="P37" s="168"/>
      <c r="Q37" s="169"/>
      <c r="R37" s="973"/>
      <c r="S37" s="971"/>
      <c r="T37" s="971"/>
      <c r="U37" s="972"/>
      <c r="V37" s="168"/>
      <c r="W37" s="168"/>
      <c r="X37" s="168"/>
      <c r="Y37" s="169"/>
      <c r="Z37" s="168"/>
      <c r="AA37" s="168"/>
      <c r="AB37" s="168"/>
      <c r="AC37" s="169"/>
      <c r="AD37" s="193"/>
      <c r="AE37" s="193"/>
      <c r="AF37" s="193"/>
      <c r="AG37" s="231"/>
      <c r="AH37" s="192"/>
      <c r="AI37" s="193"/>
      <c r="AJ37" s="193"/>
      <c r="AK37" s="231"/>
      <c r="AL37" s="192"/>
      <c r="AM37" s="193"/>
      <c r="AN37" s="193"/>
      <c r="AO37" s="231"/>
      <c r="AP37" s="170"/>
      <c r="AQ37" s="168"/>
      <c r="AR37" s="168"/>
      <c r="AS37" s="169"/>
      <c r="AT37" s="192"/>
      <c r="AU37" s="193"/>
      <c r="AV37" s="193"/>
      <c r="AW37" s="231"/>
      <c r="AX37" s="192"/>
      <c r="AY37" s="193"/>
      <c r="AZ37" s="193"/>
      <c r="BA37" s="231"/>
      <c r="BB37" s="192"/>
      <c r="BC37" s="193"/>
      <c r="BD37" s="193"/>
      <c r="BE37" s="231"/>
      <c r="BF37" s="192"/>
      <c r="BG37" s="193"/>
      <c r="BH37" s="193"/>
      <c r="BI37" s="231"/>
      <c r="BJ37" s="192"/>
      <c r="BK37" s="193"/>
      <c r="BL37" s="193"/>
      <c r="BM37" s="231"/>
      <c r="BN37" s="192"/>
      <c r="BO37" s="193"/>
      <c r="BP37" s="193"/>
      <c r="BQ37" s="231"/>
      <c r="BR37" s="192"/>
      <c r="BS37" s="193"/>
      <c r="BT37" s="676"/>
      <c r="BU37" s="387"/>
      <c r="BV37" s="677"/>
      <c r="BW37" s="678"/>
      <c r="BX37" s="678"/>
      <c r="BY37" s="679"/>
      <c r="BZ37" s="168"/>
      <c r="CA37" s="168"/>
      <c r="CB37" s="168"/>
      <c r="CC37" s="169"/>
      <c r="CD37" s="168"/>
      <c r="CE37" s="168"/>
      <c r="CF37" s="168"/>
      <c r="CG37" s="169"/>
      <c r="CH37" s="170"/>
      <c r="CI37" s="168"/>
      <c r="CJ37" s="168"/>
      <c r="CK37" s="169"/>
      <c r="CL37" s="170"/>
      <c r="CM37" s="168"/>
      <c r="CN37" s="168"/>
      <c r="CO37" s="169"/>
      <c r="CP37" s="680"/>
      <c r="CQ37" s="681"/>
      <c r="CR37" s="681"/>
      <c r="CS37" s="682"/>
      <c r="CT37" s="963"/>
      <c r="CU37" s="964"/>
      <c r="CV37" s="964"/>
      <c r="CW37" s="965"/>
      <c r="CX37" s="681"/>
      <c r="CY37" s="681"/>
      <c r="CZ37" s="681"/>
      <c r="DA37" s="682"/>
    </row>
    <row r="38" spans="1:110" s="899" customFormat="1" ht="15" thickBot="1">
      <c r="A38" s="985" t="s">
        <v>54</v>
      </c>
      <c r="B38" s="982">
        <f>B36</f>
        <v>13869858</v>
      </c>
      <c r="C38" s="983">
        <f aca="true" t="shared" si="62" ref="C38:BN38">C36</f>
        <v>11822616</v>
      </c>
      <c r="D38" s="983">
        <f t="shared" si="62"/>
        <v>13869858</v>
      </c>
      <c r="E38" s="996">
        <f t="shared" si="62"/>
        <v>11822616</v>
      </c>
      <c r="F38" s="990">
        <f t="shared" si="62"/>
        <v>719950</v>
      </c>
      <c r="G38" s="983">
        <f t="shared" si="62"/>
        <v>753674</v>
      </c>
      <c r="H38" s="983">
        <f t="shared" si="62"/>
        <v>719950</v>
      </c>
      <c r="I38" s="984">
        <f t="shared" si="62"/>
        <v>753674</v>
      </c>
      <c r="J38" s="975">
        <f t="shared" si="62"/>
        <v>2430060</v>
      </c>
      <c r="K38" s="967">
        <f t="shared" si="62"/>
        <v>2480740</v>
      </c>
      <c r="L38" s="967">
        <f t="shared" si="62"/>
        <v>2430060</v>
      </c>
      <c r="M38" s="968">
        <f t="shared" si="62"/>
        <v>2480740</v>
      </c>
      <c r="N38" s="904">
        <f t="shared" si="62"/>
        <v>13046569</v>
      </c>
      <c r="O38" s="904">
        <f t="shared" si="62"/>
        <v>11717172</v>
      </c>
      <c r="P38" s="904">
        <f t="shared" si="62"/>
        <v>13046569</v>
      </c>
      <c r="Q38" s="903">
        <f t="shared" si="62"/>
        <v>11717172</v>
      </c>
      <c r="R38" s="975">
        <f t="shared" si="62"/>
        <v>871501</v>
      </c>
      <c r="S38" s="967">
        <f t="shared" si="62"/>
        <v>1088865</v>
      </c>
      <c r="T38" s="967">
        <f t="shared" si="62"/>
        <v>871501</v>
      </c>
      <c r="U38" s="968">
        <f t="shared" si="62"/>
        <v>1088865</v>
      </c>
      <c r="V38" s="904">
        <f t="shared" si="62"/>
        <v>3459672</v>
      </c>
      <c r="W38" s="904">
        <f t="shared" si="62"/>
        <v>4235447</v>
      </c>
      <c r="X38" s="904">
        <f t="shared" si="62"/>
        <v>3459672</v>
      </c>
      <c r="Y38" s="903">
        <f t="shared" si="62"/>
        <v>4235447</v>
      </c>
      <c r="Z38" s="904">
        <f t="shared" si="62"/>
        <v>855696</v>
      </c>
      <c r="AA38" s="904">
        <f t="shared" si="62"/>
        <v>747076</v>
      </c>
      <c r="AB38" s="904">
        <f t="shared" si="62"/>
        <v>855696</v>
      </c>
      <c r="AC38" s="903">
        <f t="shared" si="62"/>
        <v>747076</v>
      </c>
      <c r="AD38" s="901">
        <f t="shared" si="62"/>
        <v>151421</v>
      </c>
      <c r="AE38" s="901">
        <f t="shared" si="62"/>
        <v>141301</v>
      </c>
      <c r="AF38" s="901">
        <f t="shared" si="62"/>
        <v>151421</v>
      </c>
      <c r="AG38" s="902">
        <f t="shared" si="62"/>
        <v>141301</v>
      </c>
      <c r="AH38" s="900">
        <f t="shared" si="62"/>
        <v>3131549</v>
      </c>
      <c r="AI38" s="901">
        <f t="shared" si="62"/>
        <v>2831453</v>
      </c>
      <c r="AJ38" s="901">
        <f t="shared" si="62"/>
        <v>3131549</v>
      </c>
      <c r="AK38" s="902">
        <f t="shared" si="62"/>
        <v>2831453</v>
      </c>
      <c r="AL38" s="900">
        <f t="shared" si="62"/>
        <v>887118</v>
      </c>
      <c r="AM38" s="901">
        <f t="shared" si="62"/>
        <v>753873</v>
      </c>
      <c r="AN38" s="901">
        <f t="shared" si="62"/>
        <v>887118</v>
      </c>
      <c r="AO38" s="902">
        <f t="shared" si="62"/>
        <v>753873</v>
      </c>
      <c r="AP38" s="905">
        <f t="shared" si="62"/>
        <v>35151663</v>
      </c>
      <c r="AQ38" s="904">
        <f t="shared" si="62"/>
        <v>28671083</v>
      </c>
      <c r="AR38" s="904">
        <f t="shared" si="62"/>
        <v>35151663</v>
      </c>
      <c r="AS38" s="903">
        <f t="shared" si="62"/>
        <v>28671083</v>
      </c>
      <c r="AT38" s="900">
        <f t="shared" si="62"/>
        <v>37753202</v>
      </c>
      <c r="AU38" s="901">
        <f>AU36</f>
        <v>30099123</v>
      </c>
      <c r="AV38" s="901">
        <f t="shared" si="62"/>
        <v>0</v>
      </c>
      <c r="AW38" s="902">
        <f t="shared" si="62"/>
        <v>0</v>
      </c>
      <c r="AX38" s="900">
        <f t="shared" si="62"/>
        <v>1013291</v>
      </c>
      <c r="AY38" s="901">
        <f t="shared" si="62"/>
        <v>903267</v>
      </c>
      <c r="AZ38" s="901">
        <f t="shared" si="62"/>
        <v>1013291</v>
      </c>
      <c r="BA38" s="902">
        <f t="shared" si="62"/>
        <v>903267</v>
      </c>
      <c r="BB38" s="900">
        <f t="shared" si="62"/>
        <v>10503929</v>
      </c>
      <c r="BC38" s="901">
        <f t="shared" si="62"/>
        <v>2842913</v>
      </c>
      <c r="BD38" s="901">
        <f t="shared" si="62"/>
        <v>10503929</v>
      </c>
      <c r="BE38" s="902">
        <f t="shared" si="62"/>
        <v>2842913</v>
      </c>
      <c r="BF38" s="900">
        <f t="shared" si="62"/>
        <v>6582675</v>
      </c>
      <c r="BG38" s="901">
        <f t="shared" si="62"/>
        <v>6621878</v>
      </c>
      <c r="BH38" s="901">
        <f t="shared" si="62"/>
        <v>6582675</v>
      </c>
      <c r="BI38" s="902">
        <f t="shared" si="62"/>
        <v>6621878</v>
      </c>
      <c r="BJ38" s="900">
        <f t="shared" si="62"/>
        <v>16500633</v>
      </c>
      <c r="BK38" s="901">
        <f t="shared" si="62"/>
        <v>11792123</v>
      </c>
      <c r="BL38" s="901">
        <f t="shared" si="62"/>
        <v>16500633</v>
      </c>
      <c r="BM38" s="902">
        <f t="shared" si="62"/>
        <v>11792123</v>
      </c>
      <c r="BN38" s="900">
        <f t="shared" si="62"/>
        <v>5628952</v>
      </c>
      <c r="BO38" s="901">
        <f aca="true" t="shared" si="63" ref="BO38:CO38">BO36</f>
        <v>4591006</v>
      </c>
      <c r="BP38" s="901">
        <f t="shared" si="63"/>
        <v>5628952</v>
      </c>
      <c r="BQ38" s="902">
        <f t="shared" si="63"/>
        <v>4591006</v>
      </c>
      <c r="BR38" s="900">
        <f t="shared" si="63"/>
        <v>6501898</v>
      </c>
      <c r="BS38" s="901">
        <f t="shared" si="63"/>
        <v>6697910</v>
      </c>
      <c r="BT38" s="906">
        <f t="shared" si="63"/>
        <v>6501898</v>
      </c>
      <c r="BU38" s="907">
        <f t="shared" si="63"/>
        <v>6697910</v>
      </c>
      <c r="BV38" s="908">
        <f t="shared" si="63"/>
        <v>0</v>
      </c>
      <c r="BW38" s="909">
        <f t="shared" si="63"/>
        <v>0</v>
      </c>
      <c r="BX38" s="909">
        <f t="shared" si="63"/>
        <v>0</v>
      </c>
      <c r="BY38" s="907">
        <f t="shared" si="63"/>
        <v>0</v>
      </c>
      <c r="BZ38" s="904">
        <f t="shared" si="63"/>
        <v>28538347</v>
      </c>
      <c r="CA38" s="904">
        <f t="shared" si="63"/>
        <v>21584719</v>
      </c>
      <c r="CB38" s="904">
        <f t="shared" si="63"/>
        <v>28538347</v>
      </c>
      <c r="CC38" s="903">
        <f t="shared" si="63"/>
        <v>21584719</v>
      </c>
      <c r="CD38" s="904">
        <f t="shared" si="63"/>
        <v>1250896</v>
      </c>
      <c r="CE38" s="904">
        <f t="shared" si="63"/>
        <v>1140495</v>
      </c>
      <c r="CF38" s="904">
        <f t="shared" si="63"/>
        <v>1250896</v>
      </c>
      <c r="CG38" s="903">
        <f t="shared" si="63"/>
        <v>1140495</v>
      </c>
      <c r="CH38" s="905">
        <f t="shared" si="63"/>
        <v>1781069</v>
      </c>
      <c r="CI38" s="904">
        <f t="shared" si="63"/>
        <v>1756702</v>
      </c>
      <c r="CJ38" s="904">
        <f t="shared" si="63"/>
        <v>1781069</v>
      </c>
      <c r="CK38" s="903">
        <f t="shared" si="63"/>
        <v>1756702</v>
      </c>
      <c r="CL38" s="905">
        <f t="shared" si="63"/>
        <v>4987334</v>
      </c>
      <c r="CM38" s="904">
        <f t="shared" si="63"/>
        <v>4108144</v>
      </c>
      <c r="CN38" s="904">
        <f t="shared" si="63"/>
        <v>4987334</v>
      </c>
      <c r="CO38" s="903">
        <f t="shared" si="63"/>
        <v>4108144</v>
      </c>
      <c r="CP38" s="886">
        <f>SUM(B38+F38+J38+N38+R38+V38+Z38+AD38+AH38+AL38+AP38+AT38+AX38+BB38+BF38+BJ38+BN38+BR38+BV38+BZ38+CD38+CH38+CL38)</f>
        <v>195617283</v>
      </c>
      <c r="CQ38" s="887">
        <f>SUM(C38+G38+K38+O38+S38+W38+AA38+AE38+AI38+AM38+AQ38+AU38+AY38+BC38+BG38+BK38+BO38+BS38+BW38+CA38+CE38+CI38+CM38)</f>
        <v>157381580</v>
      </c>
      <c r="CR38" s="887">
        <f>SUM(D38+H38+L38+P38+T38+X38+AB38+AF38+AJ38+AN38+AR38+AV38+AZ38+BD38+BH38+BL38+BP38+BT38+BX38+CB38+CF38+CJ38+CN38)</f>
        <v>157864081</v>
      </c>
      <c r="CS38" s="898">
        <f>SUM(E38+I38+M38+Q38+U38+Y38+AC38+AG38+AK38+AO38+AS38+AW38+BA38+BE38+BI38+BM38+BQ38+BU38+BY38+CC38+CG38+CK38+CO38)</f>
        <v>127282457</v>
      </c>
      <c r="CT38" s="966">
        <f>CT36</f>
        <v>468470495</v>
      </c>
      <c r="CU38" s="967">
        <f>CU36</f>
        <v>512876426</v>
      </c>
      <c r="CV38" s="967">
        <f>CV36</f>
        <v>468470495</v>
      </c>
      <c r="CW38" s="968">
        <f>CW36</f>
        <v>512876426</v>
      </c>
      <c r="CX38" s="887">
        <f>CP38+CT38</f>
        <v>664087778</v>
      </c>
      <c r="CY38" s="887">
        <f>CQ38+CU38</f>
        <v>670258006</v>
      </c>
      <c r="CZ38" s="887">
        <f>CR38+CV38</f>
        <v>626334576</v>
      </c>
      <c r="DA38" s="898">
        <f>CS38+CW38</f>
        <v>640158883</v>
      </c>
      <c r="DE38" s="894">
        <f>CZ38-CZ11</f>
        <v>365738473</v>
      </c>
      <c r="DF38" s="894">
        <f>DA38-DA11</f>
        <v>395591027</v>
      </c>
    </row>
    <row r="39" spans="1:105" s="144" customFormat="1" ht="14.25">
      <c r="A39" s="123"/>
      <c r="I39" s="232"/>
      <c r="AP39" s="232"/>
      <c r="AQ39" s="232"/>
      <c r="AR39" s="232"/>
      <c r="AS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</row>
  </sheetData>
  <sheetProtection/>
  <mergeCells count="29">
    <mergeCell ref="R3:U3"/>
    <mergeCell ref="V3:Y3"/>
    <mergeCell ref="Z3:AC3"/>
    <mergeCell ref="BB3:BE3"/>
    <mergeCell ref="BF3:BI3"/>
    <mergeCell ref="BJ3:BM3"/>
    <mergeCell ref="AP3:AS3"/>
    <mergeCell ref="AT3:AW3"/>
    <mergeCell ref="AX3:BA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4"/>
  <sheetViews>
    <sheetView zoomScalePageLayoutView="0" workbookViewId="0" topLeftCell="A1">
      <pane xSplit="1" topLeftCell="AH1" activePane="topRight" state="frozen"/>
      <selection pane="topLeft" activeCell="A1" sqref="A1"/>
      <selection pane="topRight" activeCell="AI9" sqref="AI9"/>
    </sheetView>
  </sheetViews>
  <sheetFormatPr defaultColWidth="9.140625" defaultRowHeight="15"/>
  <cols>
    <col min="1" max="1" width="45.421875" style="139" bestFit="1" customWidth="1"/>
    <col min="2" max="2" width="10.28125" style="139" bestFit="1" customWidth="1"/>
    <col min="3" max="3" width="10.28125" style="139" customWidth="1"/>
    <col min="4" max="5" width="10.421875" style="139" customWidth="1"/>
    <col min="6" max="7" width="11.421875" style="139" customWidth="1"/>
    <col min="8" max="8" width="11.57421875" style="139" bestFit="1" customWidth="1"/>
    <col min="9" max="9" width="11.7109375" style="139" customWidth="1"/>
    <col min="10" max="11" width="10.7109375" style="139" customWidth="1"/>
    <col min="12" max="12" width="10.28125" style="139" bestFit="1" customWidth="1"/>
    <col min="13" max="13" width="10.28125" style="139" customWidth="1"/>
    <col min="14" max="14" width="10.28125" style="139" bestFit="1" customWidth="1"/>
    <col min="15" max="15" width="10.28125" style="139" customWidth="1"/>
    <col min="16" max="16" width="11.57421875" style="139" bestFit="1" customWidth="1"/>
    <col min="17" max="17" width="11.57421875" style="139" customWidth="1"/>
    <col min="18" max="19" width="10.140625" style="139" customWidth="1"/>
    <col min="20" max="21" width="10.57421875" style="139" customWidth="1"/>
    <col min="22" max="22" width="11.57421875" style="139" bestFit="1" customWidth="1"/>
    <col min="23" max="23" width="11.57421875" style="139" customWidth="1"/>
    <col min="24" max="24" width="11.57421875" style="139" bestFit="1" customWidth="1"/>
    <col min="25" max="25" width="11.57421875" style="139" customWidth="1"/>
    <col min="26" max="26" width="10.28125" style="139" bestFit="1" customWidth="1"/>
    <col min="27" max="27" width="10.28125" style="139" customWidth="1"/>
    <col min="28" max="28" width="10.28125" style="139" bestFit="1" customWidth="1"/>
    <col min="29" max="29" width="10.28125" style="139" customWidth="1"/>
    <col min="30" max="30" width="11.57421875" style="139" bestFit="1" customWidth="1"/>
    <col min="31" max="31" width="11.57421875" style="139" customWidth="1"/>
    <col min="32" max="32" width="10.28125" style="139" bestFit="1" customWidth="1"/>
    <col min="33" max="33" width="10.28125" style="139" customWidth="1"/>
    <col min="34" max="35" width="10.140625" style="139" customWidth="1"/>
    <col min="36" max="36" width="10.28125" style="139" bestFit="1" customWidth="1"/>
    <col min="37" max="39" width="10.28125" style="139" customWidth="1"/>
    <col min="40" max="40" width="11.57421875" style="139" bestFit="1" customWidth="1"/>
    <col min="41" max="41" width="11.57421875" style="139" customWidth="1"/>
    <col min="42" max="43" width="10.140625" style="139" customWidth="1"/>
    <col min="44" max="44" width="10.28125" style="139" bestFit="1" customWidth="1"/>
    <col min="45" max="45" width="10.28125" style="139" customWidth="1"/>
    <col min="46" max="47" width="10.140625" style="139" customWidth="1"/>
    <col min="48" max="49" width="13.7109375" style="139" customWidth="1"/>
    <col min="50" max="51" width="10.140625" style="139" customWidth="1"/>
    <col min="52" max="52" width="13.57421875" style="92" customWidth="1"/>
    <col min="53" max="53" width="14.140625" style="139" customWidth="1"/>
    <col min="54" max="16384" width="9.140625" style="139" customWidth="1"/>
  </cols>
  <sheetData>
    <row r="1" spans="1:52" s="769" customFormat="1" ht="17.25" thickBot="1">
      <c r="A1" s="1978" t="s">
        <v>400</v>
      </c>
      <c r="B1" s="1978"/>
      <c r="C1" s="1978"/>
      <c r="D1" s="1978"/>
      <c r="E1" s="1978"/>
      <c r="F1" s="1978"/>
      <c r="G1" s="1978"/>
      <c r="H1" s="1978"/>
      <c r="I1" s="1978"/>
      <c r="J1" s="1978"/>
      <c r="K1" s="1978"/>
      <c r="L1" s="1978"/>
      <c r="M1" s="1978"/>
      <c r="N1" s="1978"/>
      <c r="O1" s="1978"/>
      <c r="P1" s="1978"/>
      <c r="Q1" s="1978"/>
      <c r="R1" s="1978"/>
      <c r="S1" s="1978"/>
      <c r="T1" s="1978"/>
      <c r="U1" s="1978"/>
      <c r="V1" s="1978"/>
      <c r="W1" s="1978"/>
      <c r="X1" s="1978"/>
      <c r="Y1" s="1978"/>
      <c r="Z1" s="1978"/>
      <c r="AA1" s="1978"/>
      <c r="AB1" s="1978"/>
      <c r="AC1" s="1978"/>
      <c r="AD1" s="1978"/>
      <c r="AE1" s="1978"/>
      <c r="AF1" s="1978"/>
      <c r="AG1" s="1978"/>
      <c r="AH1" s="1978"/>
      <c r="AI1" s="1978"/>
      <c r="AJ1" s="1978"/>
      <c r="AK1" s="1978"/>
      <c r="AL1" s="1978"/>
      <c r="AM1" s="1978"/>
      <c r="AN1" s="1978"/>
      <c r="AO1" s="1978"/>
      <c r="AP1" s="1978"/>
      <c r="AQ1" s="1978"/>
      <c r="AR1" s="1978"/>
      <c r="AS1" s="1978"/>
      <c r="AT1" s="1978"/>
      <c r="AU1" s="1978"/>
      <c r="AV1" s="1978"/>
      <c r="AW1" s="1978"/>
      <c r="AX1" s="1978"/>
      <c r="AY1" s="1978"/>
      <c r="AZ1" s="1978"/>
    </row>
    <row r="2" spans="1:53" ht="69" customHeight="1" thickBot="1">
      <c r="A2" s="1977" t="s">
        <v>0</v>
      </c>
      <c r="B2" s="1881" t="s">
        <v>187</v>
      </c>
      <c r="C2" s="1882"/>
      <c r="D2" s="1883" t="s">
        <v>188</v>
      </c>
      <c r="E2" s="1884"/>
      <c r="F2" s="1883" t="s">
        <v>189</v>
      </c>
      <c r="G2" s="1884"/>
      <c r="H2" s="1883" t="s">
        <v>190</v>
      </c>
      <c r="I2" s="1884"/>
      <c r="J2" s="1928" t="s">
        <v>191</v>
      </c>
      <c r="K2" s="1930"/>
      <c r="L2" s="1928" t="s">
        <v>192</v>
      </c>
      <c r="M2" s="1930"/>
      <c r="N2" s="1883" t="s">
        <v>193</v>
      </c>
      <c r="O2" s="1884"/>
      <c r="P2" s="1883" t="s">
        <v>194</v>
      </c>
      <c r="Q2" s="1884"/>
      <c r="R2" s="1883" t="s">
        <v>195</v>
      </c>
      <c r="S2" s="1884"/>
      <c r="T2" s="1929" t="s">
        <v>196</v>
      </c>
      <c r="U2" s="1930"/>
      <c r="V2" s="1883" t="s">
        <v>197</v>
      </c>
      <c r="W2" s="1884"/>
      <c r="X2" s="1883" t="s">
        <v>198</v>
      </c>
      <c r="Y2" s="1884"/>
      <c r="Z2" s="1883" t="s">
        <v>199</v>
      </c>
      <c r="AA2" s="1884"/>
      <c r="AB2" s="1883" t="s">
        <v>200</v>
      </c>
      <c r="AC2" s="1884"/>
      <c r="AD2" s="1883" t="s">
        <v>201</v>
      </c>
      <c r="AE2" s="1884"/>
      <c r="AF2" s="1883" t="s">
        <v>202</v>
      </c>
      <c r="AG2" s="1884"/>
      <c r="AH2" s="1883" t="s">
        <v>203</v>
      </c>
      <c r="AI2" s="1884"/>
      <c r="AJ2" s="1883" t="s">
        <v>204</v>
      </c>
      <c r="AK2" s="1884"/>
      <c r="AL2" s="1883" t="s">
        <v>205</v>
      </c>
      <c r="AM2" s="1884"/>
      <c r="AN2" s="1883" t="s">
        <v>206</v>
      </c>
      <c r="AO2" s="1884"/>
      <c r="AP2" s="1883" t="s">
        <v>207</v>
      </c>
      <c r="AQ2" s="1884"/>
      <c r="AR2" s="1883" t="s">
        <v>208</v>
      </c>
      <c r="AS2" s="1884"/>
      <c r="AT2" s="1883" t="s">
        <v>209</v>
      </c>
      <c r="AU2" s="1884"/>
      <c r="AV2" s="1883" t="s">
        <v>1</v>
      </c>
      <c r="AW2" s="1884"/>
      <c r="AX2" s="1883" t="s">
        <v>210</v>
      </c>
      <c r="AY2" s="1884"/>
      <c r="AZ2" s="1975" t="s">
        <v>2</v>
      </c>
      <c r="BA2" s="1976"/>
    </row>
    <row r="3" spans="1:53" s="831" customFormat="1" ht="36.75" customHeight="1" thickBot="1">
      <c r="A3" s="1977"/>
      <c r="B3" s="1388" t="s">
        <v>443</v>
      </c>
      <c r="C3" s="1388" t="s">
        <v>442</v>
      </c>
      <c r="D3" s="998" t="s">
        <v>443</v>
      </c>
      <c r="E3" s="998" t="s">
        <v>442</v>
      </c>
      <c r="F3" s="998" t="s">
        <v>443</v>
      </c>
      <c r="G3" s="998" t="s">
        <v>442</v>
      </c>
      <c r="H3" s="998" t="s">
        <v>443</v>
      </c>
      <c r="I3" s="1376" t="s">
        <v>442</v>
      </c>
      <c r="J3" s="1378" t="s">
        <v>443</v>
      </c>
      <c r="K3" s="1380" t="s">
        <v>442</v>
      </c>
      <c r="L3" s="1378" t="s">
        <v>443</v>
      </c>
      <c r="M3" s="1379" t="s">
        <v>442</v>
      </c>
      <c r="N3" s="1378" t="s">
        <v>443</v>
      </c>
      <c r="O3" s="1379" t="s">
        <v>442</v>
      </c>
      <c r="P3" s="999" t="s">
        <v>443</v>
      </c>
      <c r="Q3" s="999" t="s">
        <v>442</v>
      </c>
      <c r="R3" s="1378" t="s">
        <v>443</v>
      </c>
      <c r="S3" s="1379" t="s">
        <v>442</v>
      </c>
      <c r="T3" s="1378" t="s">
        <v>443</v>
      </c>
      <c r="U3" s="1379" t="s">
        <v>442</v>
      </c>
      <c r="V3" s="1378" t="s">
        <v>443</v>
      </c>
      <c r="W3" s="1379" t="s">
        <v>442</v>
      </c>
      <c r="X3" s="1378" t="s">
        <v>443</v>
      </c>
      <c r="Y3" s="1379" t="s">
        <v>442</v>
      </c>
      <c r="Z3" s="1378" t="s">
        <v>443</v>
      </c>
      <c r="AA3" s="1379" t="s">
        <v>442</v>
      </c>
      <c r="AB3" s="1378" t="s">
        <v>443</v>
      </c>
      <c r="AC3" s="1379" t="s">
        <v>442</v>
      </c>
      <c r="AD3" s="1378" t="s">
        <v>443</v>
      </c>
      <c r="AE3" s="1379" t="s">
        <v>442</v>
      </c>
      <c r="AF3" s="1378" t="s">
        <v>443</v>
      </c>
      <c r="AG3" s="1379" t="s">
        <v>442</v>
      </c>
      <c r="AH3" s="1378" t="s">
        <v>443</v>
      </c>
      <c r="AI3" s="1379" t="s">
        <v>442</v>
      </c>
      <c r="AJ3" s="1378" t="s">
        <v>443</v>
      </c>
      <c r="AK3" s="1379" t="s">
        <v>442</v>
      </c>
      <c r="AL3" s="1378" t="s">
        <v>443</v>
      </c>
      <c r="AM3" s="1379" t="s">
        <v>442</v>
      </c>
      <c r="AN3" s="1378" t="s">
        <v>443</v>
      </c>
      <c r="AO3" s="1379" t="s">
        <v>442</v>
      </c>
      <c r="AP3" s="1378" t="s">
        <v>443</v>
      </c>
      <c r="AQ3" s="1379" t="s">
        <v>442</v>
      </c>
      <c r="AR3" s="1378" t="s">
        <v>443</v>
      </c>
      <c r="AS3" s="1379" t="s">
        <v>442</v>
      </c>
      <c r="AT3" s="999" t="s">
        <v>443</v>
      </c>
      <c r="AU3" s="999" t="s">
        <v>442</v>
      </c>
      <c r="AV3" s="1375" t="s">
        <v>443</v>
      </c>
      <c r="AW3" s="1375" t="s">
        <v>442</v>
      </c>
      <c r="AX3" s="999" t="s">
        <v>443</v>
      </c>
      <c r="AY3" s="999" t="s">
        <v>442</v>
      </c>
      <c r="AZ3" s="1388" t="s">
        <v>443</v>
      </c>
      <c r="BA3" s="1375" t="s">
        <v>442</v>
      </c>
    </row>
    <row r="4" spans="1:53" ht="16.5">
      <c r="A4" s="1386" t="s">
        <v>387</v>
      </c>
      <c r="B4" s="1389"/>
      <c r="C4" s="1390"/>
      <c r="D4" s="1336"/>
      <c r="E4" s="1336"/>
      <c r="F4" s="1336">
        <v>0</v>
      </c>
      <c r="G4" s="1336">
        <v>0</v>
      </c>
      <c r="H4" s="1336"/>
      <c r="I4" s="1336"/>
      <c r="J4" s="1377"/>
      <c r="K4" s="1377"/>
      <c r="L4" s="1377"/>
      <c r="M4" s="1377"/>
      <c r="N4" s="1336"/>
      <c r="O4" s="1336"/>
      <c r="P4" s="1336"/>
      <c r="Q4" s="1336"/>
      <c r="R4" s="1335">
        <v>0</v>
      </c>
      <c r="S4" s="1337">
        <v>0</v>
      </c>
      <c r="T4" s="1384">
        <v>0</v>
      </c>
      <c r="U4" s="1385">
        <v>0</v>
      </c>
      <c r="V4" s="1336"/>
      <c r="W4" s="1336"/>
      <c r="X4" s="1336"/>
      <c r="Y4" s="1336"/>
      <c r="Z4" s="1336"/>
      <c r="AA4" s="1336"/>
      <c r="AB4" s="1336"/>
      <c r="AC4" s="1336"/>
      <c r="AD4" s="1336"/>
      <c r="AE4" s="1336"/>
      <c r="AF4" s="1336"/>
      <c r="AG4" s="1336"/>
      <c r="AH4" s="1336">
        <v>0</v>
      </c>
      <c r="AI4" s="1336">
        <v>0</v>
      </c>
      <c r="AJ4" s="1336"/>
      <c r="AK4" s="1336"/>
      <c r="AL4" s="1336"/>
      <c r="AM4" s="1336"/>
      <c r="AN4" s="1336"/>
      <c r="AO4" s="1336"/>
      <c r="AP4" s="1336"/>
      <c r="AQ4" s="1336"/>
      <c r="AR4" s="1336"/>
      <c r="AS4" s="1336"/>
      <c r="AT4" s="1336"/>
      <c r="AU4" s="1337"/>
      <c r="AV4" s="1389">
        <f>SUM(B4+D4+F4+H4+J4+L4+N4+P4+R4+T4+V4+X4+Z4+AB4+AD4+AF4+AH4+AJ4+AL4+AN4+AP4+AR4+AT4)</f>
        <v>0</v>
      </c>
      <c r="AW4" s="1390">
        <f>SUM(C4+E4+G4+I4+K4+M4+O4+Q4+S4+U4+W4+Y4+AA4+AC4+AE4+AG4+AI4+AK4+AM4+AO4+AQ4+AS4+AU4)</f>
        <v>0</v>
      </c>
      <c r="AX4" s="1336"/>
      <c r="AY4" s="1337"/>
      <c r="AZ4" s="1389">
        <f>AV4+AX4</f>
        <v>0</v>
      </c>
      <c r="BA4" s="1390">
        <f>AW4+AY4</f>
        <v>0</v>
      </c>
    </row>
    <row r="5" spans="1:53" ht="16.5">
      <c r="A5" s="924" t="s">
        <v>388</v>
      </c>
      <c r="B5" s="1381">
        <v>682920</v>
      </c>
      <c r="C5" s="1382">
        <v>682920</v>
      </c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4"/>
      <c r="S5" s="1338"/>
      <c r="T5" s="1381"/>
      <c r="U5" s="1382"/>
      <c r="V5" s="1333"/>
      <c r="W5" s="1333"/>
      <c r="X5" s="1333"/>
      <c r="Y5" s="1333"/>
      <c r="Z5" s="1333"/>
      <c r="AA5" s="1333"/>
      <c r="AB5" s="1333"/>
      <c r="AC5" s="1333"/>
      <c r="AD5" s="1333"/>
      <c r="AE5" s="1333"/>
      <c r="AF5" s="1333">
        <v>258784</v>
      </c>
      <c r="AG5" s="1333"/>
      <c r="AH5" s="1333"/>
      <c r="AI5" s="1333"/>
      <c r="AJ5" s="1333"/>
      <c r="AK5" s="1333"/>
      <c r="AL5" s="1333"/>
      <c r="AM5" s="1333"/>
      <c r="AN5" s="1333"/>
      <c r="AO5" s="1333"/>
      <c r="AP5" s="1333"/>
      <c r="AQ5" s="1333"/>
      <c r="AR5" s="1333"/>
      <c r="AS5" s="1333"/>
      <c r="AT5" s="1333"/>
      <c r="AU5" s="1338"/>
      <c r="AV5" s="1381">
        <f aca="true" t="shared" si="0" ref="AV5:AV14">SUM(B5+D5+F5+H5+J5+L5+N5+P5+R5+T5+V5+X5+Z5+AB5+AD5+AF5+AH5+AJ5+AL5+AN5+AP5+AR5+AT5)</f>
        <v>941704</v>
      </c>
      <c r="AW5" s="1382">
        <f aca="true" t="shared" si="1" ref="AW5:AW14">SUM(C5+E5+G5+I5+K5+M5+O5+Q5+S5+U5+W5+Y5+AA5+AC5+AE5+AG5+AI5+AK5+AM5+AO5+AQ5+AS5+AU5)</f>
        <v>682920</v>
      </c>
      <c r="AX5" s="1333"/>
      <c r="AY5" s="1338"/>
      <c r="AZ5" s="1381">
        <f aca="true" t="shared" si="2" ref="AZ5:AZ14">AV5+AX5</f>
        <v>941704</v>
      </c>
      <c r="BA5" s="1382">
        <f aca="true" t="shared" si="3" ref="BA5:BA14">AW5+AY5</f>
        <v>682920</v>
      </c>
    </row>
    <row r="6" spans="1:53" ht="16.5">
      <c r="A6" s="924" t="s">
        <v>389</v>
      </c>
      <c r="B6" s="1381">
        <v>2000028</v>
      </c>
      <c r="C6" s="1382">
        <v>2000028</v>
      </c>
      <c r="D6" s="1339">
        <v>6466905</v>
      </c>
      <c r="E6" s="1339">
        <v>4837305</v>
      </c>
      <c r="F6" s="1333"/>
      <c r="G6" s="1333"/>
      <c r="H6" s="1333">
        <v>10599550</v>
      </c>
      <c r="I6" s="1333">
        <v>10599550</v>
      </c>
      <c r="J6" s="1333">
        <v>2074442</v>
      </c>
      <c r="K6" s="1333">
        <v>2074442</v>
      </c>
      <c r="L6" s="1333">
        <v>1250000</v>
      </c>
      <c r="M6" s="1333">
        <v>1250000</v>
      </c>
      <c r="N6" s="1333">
        <v>8329217</v>
      </c>
      <c r="O6" s="1333">
        <v>8329217</v>
      </c>
      <c r="P6" s="1333">
        <v>16848478</v>
      </c>
      <c r="Q6" s="1333">
        <v>16848478</v>
      </c>
      <c r="R6" s="1334"/>
      <c r="S6" s="1338"/>
      <c r="T6" s="1381"/>
      <c r="U6" s="1382"/>
      <c r="V6" s="1333">
        <f>3127498+554741</f>
        <v>3682239</v>
      </c>
      <c r="W6" s="1333">
        <v>3190091</v>
      </c>
      <c r="X6" s="1333">
        <v>34284090</v>
      </c>
      <c r="Y6" s="1333">
        <v>34249956</v>
      </c>
      <c r="Z6" s="1333"/>
      <c r="AA6" s="1333"/>
      <c r="AB6" s="1333">
        <v>1300000</v>
      </c>
      <c r="AC6" s="1333">
        <v>1300000</v>
      </c>
      <c r="AD6" s="1333">
        <v>520363</v>
      </c>
      <c r="AE6" s="1333">
        <v>520363</v>
      </c>
      <c r="AF6" s="1333">
        <v>680913</v>
      </c>
      <c r="AG6" s="1333"/>
      <c r="AH6" s="1333"/>
      <c r="AI6" s="1333"/>
      <c r="AJ6" s="1333">
        <v>3031592</v>
      </c>
      <c r="AK6" s="1333">
        <v>3031592</v>
      </c>
      <c r="AL6" s="1333"/>
      <c r="AM6" s="1333"/>
      <c r="AN6" s="1333"/>
      <c r="AO6" s="1333"/>
      <c r="AP6" s="1333">
        <f>61250-55735</f>
        <v>5515</v>
      </c>
      <c r="AQ6" s="1333">
        <f>61250-59898</f>
        <v>1352</v>
      </c>
      <c r="AR6" s="1333">
        <v>2686056</v>
      </c>
      <c r="AS6" s="1333">
        <v>2686056</v>
      </c>
      <c r="AT6" s="1333"/>
      <c r="AU6" s="1338"/>
      <c r="AV6" s="1381">
        <f t="shared" si="0"/>
        <v>93759388</v>
      </c>
      <c r="AW6" s="1382">
        <f t="shared" si="1"/>
        <v>90918430</v>
      </c>
      <c r="AX6" s="1333"/>
      <c r="AY6" s="1338"/>
      <c r="AZ6" s="1381">
        <f t="shared" si="2"/>
        <v>93759388</v>
      </c>
      <c r="BA6" s="1382">
        <f t="shared" si="3"/>
        <v>90918430</v>
      </c>
    </row>
    <row r="7" spans="1:53" ht="16.5">
      <c r="A7" s="924" t="s">
        <v>390</v>
      </c>
      <c r="B7" s="1381"/>
      <c r="C7" s="1382"/>
      <c r="D7" s="1339"/>
      <c r="E7" s="1339"/>
      <c r="F7" s="1333"/>
      <c r="G7" s="1333"/>
      <c r="H7" s="1333">
        <v>403626</v>
      </c>
      <c r="I7" s="1333">
        <v>319933</v>
      </c>
      <c r="J7" s="1333">
        <v>47862</v>
      </c>
      <c r="K7" s="1333"/>
      <c r="L7" s="1333"/>
      <c r="M7" s="1333"/>
      <c r="N7" s="1333"/>
      <c r="O7" s="1333"/>
      <c r="P7" s="1333"/>
      <c r="Q7" s="1333"/>
      <c r="R7" s="1334"/>
      <c r="S7" s="1338"/>
      <c r="T7" s="1381"/>
      <c r="U7" s="1382"/>
      <c r="V7" s="1333"/>
      <c r="W7" s="1333"/>
      <c r="X7" s="1333">
        <v>233264</v>
      </c>
      <c r="Y7" s="1333">
        <v>214989</v>
      </c>
      <c r="Z7" s="1333"/>
      <c r="AA7" s="1333"/>
      <c r="AB7" s="1333"/>
      <c r="AC7" s="1333"/>
      <c r="AD7" s="1333"/>
      <c r="AE7" s="1333"/>
      <c r="AF7" s="1333"/>
      <c r="AG7" s="1333"/>
      <c r="AH7" s="1333"/>
      <c r="AI7" s="1333"/>
      <c r="AJ7" s="1333"/>
      <c r="AK7" s="1333"/>
      <c r="AL7" s="1333"/>
      <c r="AM7" s="1333"/>
      <c r="AN7" s="1333"/>
      <c r="AO7" s="1333"/>
      <c r="AP7" s="1333"/>
      <c r="AQ7" s="1333"/>
      <c r="AR7" s="1333"/>
      <c r="AS7" s="1333"/>
      <c r="AT7" s="1333">
        <v>259637</v>
      </c>
      <c r="AU7" s="1338">
        <v>259637</v>
      </c>
      <c r="AV7" s="1381">
        <f t="shared" si="0"/>
        <v>944389</v>
      </c>
      <c r="AW7" s="1382">
        <f t="shared" si="1"/>
        <v>794559</v>
      </c>
      <c r="AX7" s="1333"/>
      <c r="AY7" s="1338"/>
      <c r="AZ7" s="1381">
        <f t="shared" si="2"/>
        <v>944389</v>
      </c>
      <c r="BA7" s="1382">
        <f t="shared" si="3"/>
        <v>794559</v>
      </c>
    </row>
    <row r="8" spans="1:53" ht="16.5">
      <c r="A8" s="924" t="s">
        <v>391</v>
      </c>
      <c r="B8" s="1381"/>
      <c r="C8" s="1382"/>
      <c r="D8" s="1339"/>
      <c r="E8" s="1339"/>
      <c r="F8" s="1333"/>
      <c r="G8" s="1333"/>
      <c r="H8" s="1333"/>
      <c r="I8" s="1333"/>
      <c r="J8" s="1333"/>
      <c r="K8" s="1333"/>
      <c r="L8" s="1333"/>
      <c r="M8" s="1333"/>
      <c r="N8" s="1333"/>
      <c r="O8" s="1333"/>
      <c r="P8" s="1333"/>
      <c r="Q8" s="1333"/>
      <c r="R8" s="1334"/>
      <c r="S8" s="1338"/>
      <c r="T8" s="1381"/>
      <c r="U8" s="1382"/>
      <c r="V8" s="1333"/>
      <c r="W8" s="1333"/>
      <c r="X8" s="1333"/>
      <c r="Y8" s="1333"/>
      <c r="Z8" s="1333"/>
      <c r="AA8" s="1333"/>
      <c r="AB8" s="1333"/>
      <c r="AC8" s="1333"/>
      <c r="AD8" s="1333"/>
      <c r="AE8" s="1333"/>
      <c r="AF8" s="1333"/>
      <c r="AG8" s="1333"/>
      <c r="AH8" s="1333"/>
      <c r="AI8" s="1333"/>
      <c r="AJ8" s="1333"/>
      <c r="AK8" s="1333"/>
      <c r="AL8" s="1333"/>
      <c r="AM8" s="1333"/>
      <c r="AN8" s="1333"/>
      <c r="AO8" s="1333"/>
      <c r="AP8" s="1333"/>
      <c r="AQ8" s="1333"/>
      <c r="AR8" s="1333"/>
      <c r="AS8" s="1333"/>
      <c r="AT8" s="1333"/>
      <c r="AU8" s="1338"/>
      <c r="AV8" s="1381">
        <f t="shared" si="0"/>
        <v>0</v>
      </c>
      <c r="AW8" s="1382">
        <f t="shared" si="1"/>
        <v>0</v>
      </c>
      <c r="AX8" s="1333">
        <v>5586161</v>
      </c>
      <c r="AY8" s="1338">
        <v>5269989</v>
      </c>
      <c r="AZ8" s="1381">
        <f t="shared" si="2"/>
        <v>5586161</v>
      </c>
      <c r="BA8" s="1382">
        <f t="shared" si="3"/>
        <v>5269989</v>
      </c>
    </row>
    <row r="9" spans="1:53" ht="16.5">
      <c r="A9" s="924" t="s">
        <v>392</v>
      </c>
      <c r="B9" s="1381"/>
      <c r="C9" s="1382"/>
      <c r="D9" s="1339"/>
      <c r="E9" s="1339"/>
      <c r="F9" s="1333"/>
      <c r="G9" s="1333"/>
      <c r="H9" s="1333"/>
      <c r="I9" s="1333"/>
      <c r="J9" s="1333"/>
      <c r="K9" s="1333"/>
      <c r="L9" s="1333"/>
      <c r="M9" s="1333"/>
      <c r="N9" s="1333"/>
      <c r="O9" s="1333"/>
      <c r="P9" s="1333"/>
      <c r="Q9" s="1333"/>
      <c r="R9" s="1334"/>
      <c r="S9" s="1338"/>
      <c r="T9" s="1381"/>
      <c r="U9" s="1382"/>
      <c r="V9" s="1333"/>
      <c r="W9" s="1333"/>
      <c r="X9" s="1333"/>
      <c r="Y9" s="1333"/>
      <c r="Z9" s="1333"/>
      <c r="AA9" s="1333"/>
      <c r="AB9" s="1333"/>
      <c r="AC9" s="1333"/>
      <c r="AD9" s="1333"/>
      <c r="AE9" s="1333"/>
      <c r="AF9" s="1333"/>
      <c r="AG9" s="1333"/>
      <c r="AH9" s="1333"/>
      <c r="AI9" s="1333"/>
      <c r="AJ9" s="1333"/>
      <c r="AK9" s="1333"/>
      <c r="AL9" s="1333"/>
      <c r="AM9" s="1333"/>
      <c r="AN9" s="1333"/>
      <c r="AO9" s="1333"/>
      <c r="AP9" s="1333"/>
      <c r="AQ9" s="1333"/>
      <c r="AR9" s="1333"/>
      <c r="AS9" s="1333"/>
      <c r="AT9" s="1333"/>
      <c r="AU9" s="1338"/>
      <c r="AV9" s="1381">
        <f t="shared" si="0"/>
        <v>0</v>
      </c>
      <c r="AW9" s="1382">
        <f t="shared" si="1"/>
        <v>0</v>
      </c>
      <c r="AX9" s="1333"/>
      <c r="AY9" s="1338"/>
      <c r="AZ9" s="1381">
        <f t="shared" si="2"/>
        <v>0</v>
      </c>
      <c r="BA9" s="1382">
        <f t="shared" si="3"/>
        <v>0</v>
      </c>
    </row>
    <row r="10" spans="1:53" ht="16.5">
      <c r="A10" s="924" t="s">
        <v>393</v>
      </c>
      <c r="B10" s="1381"/>
      <c r="C10" s="1382"/>
      <c r="D10" s="1339"/>
      <c r="E10" s="1339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4"/>
      <c r="S10" s="1338"/>
      <c r="T10" s="1381"/>
      <c r="U10" s="1382"/>
      <c r="V10" s="1333"/>
      <c r="W10" s="1333"/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1333"/>
      <c r="AL10" s="1333"/>
      <c r="AM10" s="1333"/>
      <c r="AN10" s="1333"/>
      <c r="AO10" s="1333"/>
      <c r="AP10" s="1333"/>
      <c r="AQ10" s="1333"/>
      <c r="AR10" s="1333"/>
      <c r="AS10" s="1333"/>
      <c r="AT10" s="1333"/>
      <c r="AU10" s="1338"/>
      <c r="AV10" s="1381">
        <f t="shared" si="0"/>
        <v>0</v>
      </c>
      <c r="AW10" s="1382">
        <f t="shared" si="1"/>
        <v>0</v>
      </c>
      <c r="AX10" s="1333"/>
      <c r="AY10" s="1338"/>
      <c r="AZ10" s="1381">
        <f t="shared" si="2"/>
        <v>0</v>
      </c>
      <c r="BA10" s="1382">
        <f t="shared" si="3"/>
        <v>0</v>
      </c>
    </row>
    <row r="11" spans="1:53" ht="16.5">
      <c r="A11" s="924" t="s">
        <v>394</v>
      </c>
      <c r="B11" s="1381"/>
      <c r="C11" s="1382"/>
      <c r="D11" s="1339"/>
      <c r="E11" s="1339"/>
      <c r="F11" s="1333"/>
      <c r="G11" s="1333"/>
      <c r="H11" s="1333"/>
      <c r="I11" s="1333"/>
      <c r="J11" s="1333"/>
      <c r="K11" s="1333"/>
      <c r="L11" s="1333"/>
      <c r="M11" s="1333"/>
      <c r="N11" s="1333"/>
      <c r="O11" s="1333"/>
      <c r="P11" s="1333"/>
      <c r="Q11" s="1333"/>
      <c r="R11" s="1334"/>
      <c r="S11" s="1338"/>
      <c r="T11" s="1381"/>
      <c r="U11" s="1382"/>
      <c r="V11" s="1333"/>
      <c r="W11" s="1333"/>
      <c r="X11" s="1333"/>
      <c r="Y11" s="1333"/>
      <c r="Z11" s="1333"/>
      <c r="AA11" s="1333"/>
      <c r="AB11" s="1333"/>
      <c r="AC11" s="1333"/>
      <c r="AD11" s="1333"/>
      <c r="AE11" s="1333"/>
      <c r="AF11" s="1333"/>
      <c r="AG11" s="1333"/>
      <c r="AH11" s="1333"/>
      <c r="AI11" s="1333"/>
      <c r="AJ11" s="1333"/>
      <c r="AK11" s="1333"/>
      <c r="AL11" s="1333"/>
      <c r="AM11" s="1333"/>
      <c r="AN11" s="1333"/>
      <c r="AO11" s="1333"/>
      <c r="AP11" s="1333"/>
      <c r="AQ11" s="1333"/>
      <c r="AR11" s="1333"/>
      <c r="AS11" s="1333"/>
      <c r="AT11" s="1333"/>
      <c r="AU11" s="1338"/>
      <c r="AV11" s="1381">
        <f t="shared" si="0"/>
        <v>0</v>
      </c>
      <c r="AW11" s="1382">
        <f t="shared" si="1"/>
        <v>0</v>
      </c>
      <c r="AX11" s="1333"/>
      <c r="AY11" s="1338"/>
      <c r="AZ11" s="1381">
        <f t="shared" si="2"/>
        <v>0</v>
      </c>
      <c r="BA11" s="1382">
        <f t="shared" si="3"/>
        <v>0</v>
      </c>
    </row>
    <row r="12" spans="1:53" ht="16.5">
      <c r="A12" s="924" t="s">
        <v>395</v>
      </c>
      <c r="B12" s="1381"/>
      <c r="C12" s="1382"/>
      <c r="D12" s="1339"/>
      <c r="E12" s="1339"/>
      <c r="F12" s="1333"/>
      <c r="G12" s="1333"/>
      <c r="H12" s="1333"/>
      <c r="I12" s="1333"/>
      <c r="J12" s="1333"/>
      <c r="K12" s="1333"/>
      <c r="L12" s="1333"/>
      <c r="M12" s="1333"/>
      <c r="N12" s="1333"/>
      <c r="O12" s="1333"/>
      <c r="P12" s="1333"/>
      <c r="Q12" s="1333"/>
      <c r="R12" s="1334"/>
      <c r="S12" s="1338"/>
      <c r="T12" s="1381"/>
      <c r="U12" s="1382"/>
      <c r="V12" s="1333"/>
      <c r="W12" s="1333"/>
      <c r="X12" s="1333"/>
      <c r="Y12" s="1333"/>
      <c r="Z12" s="1333"/>
      <c r="AA12" s="1333"/>
      <c r="AB12" s="1333">
        <v>100000</v>
      </c>
      <c r="AC12" s="1333">
        <v>50000</v>
      </c>
      <c r="AD12" s="1333"/>
      <c r="AE12" s="1333"/>
      <c r="AF12" s="1333"/>
      <c r="AG12" s="1333"/>
      <c r="AH12" s="1333"/>
      <c r="AI12" s="1333"/>
      <c r="AJ12" s="1333"/>
      <c r="AK12" s="1333"/>
      <c r="AL12" s="1333"/>
      <c r="AM12" s="1333"/>
      <c r="AN12" s="1333"/>
      <c r="AO12" s="1333"/>
      <c r="AP12" s="1333"/>
      <c r="AQ12" s="1333"/>
      <c r="AR12" s="1333"/>
      <c r="AS12" s="1333"/>
      <c r="AT12" s="1333"/>
      <c r="AU12" s="1338"/>
      <c r="AV12" s="1381">
        <f t="shared" si="0"/>
        <v>100000</v>
      </c>
      <c r="AW12" s="1382">
        <f t="shared" si="1"/>
        <v>50000</v>
      </c>
      <c r="AX12" s="1333">
        <v>-8604</v>
      </c>
      <c r="AY12" s="1338">
        <v>-7610</v>
      </c>
      <c r="AZ12" s="1381">
        <f t="shared" si="2"/>
        <v>91396</v>
      </c>
      <c r="BA12" s="1382">
        <f t="shared" si="3"/>
        <v>42390</v>
      </c>
    </row>
    <row r="13" spans="1:53" ht="16.5">
      <c r="A13" s="924" t="s">
        <v>396</v>
      </c>
      <c r="B13" s="1381"/>
      <c r="C13" s="1382"/>
      <c r="D13" s="1339"/>
      <c r="E13" s="1339"/>
      <c r="F13" s="1333"/>
      <c r="G13" s="1333"/>
      <c r="H13" s="1333">
        <v>84010774</v>
      </c>
      <c r="I13" s="1333">
        <v>81108726</v>
      </c>
      <c r="J13" s="1333"/>
      <c r="K13" s="1333"/>
      <c r="L13" s="1333">
        <v>315073</v>
      </c>
      <c r="M13" s="1333"/>
      <c r="N13" s="1333"/>
      <c r="O13" s="1333"/>
      <c r="P13" s="1333"/>
      <c r="Q13" s="1333"/>
      <c r="R13" s="1334"/>
      <c r="S13" s="1338"/>
      <c r="T13" s="1381"/>
      <c r="U13" s="1382"/>
      <c r="V13" s="1333">
        <v>36986437</v>
      </c>
      <c r="W13" s="1333">
        <v>27738241</v>
      </c>
      <c r="X13" s="1333">
        <v>22689110</v>
      </c>
      <c r="Y13" s="1333">
        <v>14035254</v>
      </c>
      <c r="Z13" s="1333">
        <v>246643</v>
      </c>
      <c r="AA13" s="1333"/>
      <c r="AB13" s="1333"/>
      <c r="AC13" s="1333"/>
      <c r="AD13" s="1333">
        <v>22204408</v>
      </c>
      <c r="AE13" s="1333">
        <v>17073487</v>
      </c>
      <c r="AF13" s="1333">
        <v>5028040</v>
      </c>
      <c r="AG13" s="1333"/>
      <c r="AH13" s="1333"/>
      <c r="AI13" s="1333"/>
      <c r="AJ13" s="1333"/>
      <c r="AK13" s="1333"/>
      <c r="AL13" s="1333"/>
      <c r="AM13" s="1333"/>
      <c r="AN13" s="1333">
        <v>68320448</v>
      </c>
      <c r="AO13" s="1333">
        <v>57287708</v>
      </c>
      <c r="AP13" s="1333">
        <v>4430254</v>
      </c>
      <c r="AQ13" s="1333">
        <v>4053254</v>
      </c>
      <c r="AR13" s="1333">
        <v>597285</v>
      </c>
      <c r="AS13" s="1333"/>
      <c r="AT13" s="1333">
        <v>357295</v>
      </c>
      <c r="AU13" s="1338"/>
      <c r="AV13" s="1381">
        <f t="shared" si="0"/>
        <v>245185767</v>
      </c>
      <c r="AW13" s="1382">
        <f t="shared" si="1"/>
        <v>201296670</v>
      </c>
      <c r="AX13" s="1333"/>
      <c r="AY13" s="1338"/>
      <c r="AZ13" s="1381">
        <f t="shared" si="2"/>
        <v>245185767</v>
      </c>
      <c r="BA13" s="1382">
        <f t="shared" si="3"/>
        <v>201296670</v>
      </c>
    </row>
    <row r="14" spans="1:53" s="921" customFormat="1" ht="17.25" thickBot="1">
      <c r="A14" s="1387" t="s">
        <v>54</v>
      </c>
      <c r="B14" s="1383">
        <f aca="true" t="shared" si="4" ref="B14:AY14">SUM(B4:B13)</f>
        <v>2682948</v>
      </c>
      <c r="C14" s="919">
        <f t="shared" si="4"/>
        <v>2682948</v>
      </c>
      <c r="D14" s="918">
        <f t="shared" si="4"/>
        <v>6466905</v>
      </c>
      <c r="E14" s="919">
        <f t="shared" si="4"/>
        <v>4837305</v>
      </c>
      <c r="F14" s="919">
        <f t="shared" si="4"/>
        <v>0</v>
      </c>
      <c r="G14" s="919">
        <f t="shared" si="4"/>
        <v>0</v>
      </c>
      <c r="H14" s="919">
        <f t="shared" si="4"/>
        <v>95013950</v>
      </c>
      <c r="I14" s="919">
        <f t="shared" si="4"/>
        <v>92028209</v>
      </c>
      <c r="J14" s="919">
        <f t="shared" si="4"/>
        <v>2122304</v>
      </c>
      <c r="K14" s="919">
        <f t="shared" si="4"/>
        <v>2074442</v>
      </c>
      <c r="L14" s="919">
        <f t="shared" si="4"/>
        <v>1565073</v>
      </c>
      <c r="M14" s="919">
        <f t="shared" si="4"/>
        <v>1250000</v>
      </c>
      <c r="N14" s="919">
        <f t="shared" si="4"/>
        <v>8329217</v>
      </c>
      <c r="O14" s="919">
        <f t="shared" si="4"/>
        <v>8329217</v>
      </c>
      <c r="P14" s="919">
        <f t="shared" si="4"/>
        <v>16848478</v>
      </c>
      <c r="Q14" s="919">
        <f t="shared" si="4"/>
        <v>16848478</v>
      </c>
      <c r="R14" s="919">
        <f t="shared" si="4"/>
        <v>0</v>
      </c>
      <c r="S14" s="920">
        <f t="shared" si="4"/>
        <v>0</v>
      </c>
      <c r="T14" s="1383">
        <f t="shared" si="4"/>
        <v>0</v>
      </c>
      <c r="U14" s="919">
        <f t="shared" si="4"/>
        <v>0</v>
      </c>
      <c r="V14" s="918">
        <f t="shared" si="4"/>
        <v>40668676</v>
      </c>
      <c r="W14" s="918">
        <f t="shared" si="4"/>
        <v>30928332</v>
      </c>
      <c r="X14" s="918">
        <f t="shared" si="4"/>
        <v>57206464</v>
      </c>
      <c r="Y14" s="918">
        <f t="shared" si="4"/>
        <v>48500199</v>
      </c>
      <c r="Z14" s="918">
        <f t="shared" si="4"/>
        <v>246643</v>
      </c>
      <c r="AA14" s="918">
        <f t="shared" si="4"/>
        <v>0</v>
      </c>
      <c r="AB14" s="918">
        <f t="shared" si="4"/>
        <v>1400000</v>
      </c>
      <c r="AC14" s="918">
        <f t="shared" si="4"/>
        <v>1350000</v>
      </c>
      <c r="AD14" s="918">
        <f t="shared" si="4"/>
        <v>22724771</v>
      </c>
      <c r="AE14" s="918">
        <f t="shared" si="4"/>
        <v>17593850</v>
      </c>
      <c r="AF14" s="918">
        <f t="shared" si="4"/>
        <v>5967737</v>
      </c>
      <c r="AG14" s="918">
        <f t="shared" si="4"/>
        <v>0</v>
      </c>
      <c r="AH14" s="918">
        <f t="shared" si="4"/>
        <v>0</v>
      </c>
      <c r="AI14" s="918">
        <f t="shared" si="4"/>
        <v>0</v>
      </c>
      <c r="AJ14" s="918">
        <f t="shared" si="4"/>
        <v>3031592</v>
      </c>
      <c r="AK14" s="918">
        <f t="shared" si="4"/>
        <v>3031592</v>
      </c>
      <c r="AL14" s="918">
        <f t="shared" si="4"/>
        <v>0</v>
      </c>
      <c r="AM14" s="918">
        <f t="shared" si="4"/>
        <v>0</v>
      </c>
      <c r="AN14" s="918">
        <f t="shared" si="4"/>
        <v>68320448</v>
      </c>
      <c r="AO14" s="918">
        <f t="shared" si="4"/>
        <v>57287708</v>
      </c>
      <c r="AP14" s="918">
        <f t="shared" si="4"/>
        <v>4435769</v>
      </c>
      <c r="AQ14" s="918">
        <f t="shared" si="4"/>
        <v>4054606</v>
      </c>
      <c r="AR14" s="918">
        <f t="shared" si="4"/>
        <v>3283341</v>
      </c>
      <c r="AS14" s="918">
        <f t="shared" si="4"/>
        <v>2686056</v>
      </c>
      <c r="AT14" s="919">
        <f t="shared" si="4"/>
        <v>616932</v>
      </c>
      <c r="AU14" s="920">
        <f t="shared" si="4"/>
        <v>259637</v>
      </c>
      <c r="AV14" s="1603">
        <f t="shared" si="0"/>
        <v>340931248</v>
      </c>
      <c r="AW14" s="1604">
        <f t="shared" si="1"/>
        <v>293742579</v>
      </c>
      <c r="AX14" s="918">
        <f t="shared" si="4"/>
        <v>5577557</v>
      </c>
      <c r="AY14" s="920">
        <f t="shared" si="4"/>
        <v>5262379</v>
      </c>
      <c r="AZ14" s="1603">
        <f t="shared" si="2"/>
        <v>346508805</v>
      </c>
      <c r="BA14" s="1604">
        <f t="shared" si="3"/>
        <v>299004958</v>
      </c>
    </row>
  </sheetData>
  <sheetProtection/>
  <mergeCells count="28">
    <mergeCell ref="A2:A3"/>
    <mergeCell ref="A1:AZ1"/>
    <mergeCell ref="B2:C2"/>
    <mergeCell ref="D2:E2"/>
    <mergeCell ref="F2:G2"/>
    <mergeCell ref="H2:I2"/>
    <mergeCell ref="L2:M2"/>
    <mergeCell ref="J2:K2"/>
    <mergeCell ref="N2:O2"/>
    <mergeCell ref="P2:Q2"/>
    <mergeCell ref="AL2:AM2"/>
    <mergeCell ref="AJ2:AK2"/>
    <mergeCell ref="R2:S2"/>
    <mergeCell ref="T2:U2"/>
    <mergeCell ref="V2:W2"/>
    <mergeCell ref="X2:Y2"/>
    <mergeCell ref="Z2:AA2"/>
    <mergeCell ref="AB2:AC2"/>
    <mergeCell ref="AZ2:BA2"/>
    <mergeCell ref="AX2:AY2"/>
    <mergeCell ref="AV2:AW2"/>
    <mergeCell ref="AD2:AE2"/>
    <mergeCell ref="AF2:AG2"/>
    <mergeCell ref="AH2:AI2"/>
    <mergeCell ref="AT2:AU2"/>
    <mergeCell ref="AR2:AS2"/>
    <mergeCell ref="AP2:AQ2"/>
    <mergeCell ref="AN2:AO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Y11" sqref="Y11"/>
    </sheetView>
  </sheetViews>
  <sheetFormatPr defaultColWidth="9.140625" defaultRowHeight="15"/>
  <cols>
    <col min="1" max="1" width="50.00390625" style="139" bestFit="1" customWidth="1"/>
    <col min="2" max="3" width="10.8515625" style="139" customWidth="1"/>
    <col min="4" max="4" width="10.57421875" style="139" customWidth="1"/>
    <col min="5" max="5" width="10.421875" style="139" customWidth="1"/>
    <col min="6" max="6" width="11.28125" style="139" customWidth="1"/>
    <col min="7" max="7" width="10.8515625" style="139" customWidth="1"/>
    <col min="8" max="9" width="10.57421875" style="139" customWidth="1"/>
    <col min="10" max="11" width="10.28125" style="139" customWidth="1"/>
    <col min="12" max="12" width="10.57421875" style="139" customWidth="1"/>
    <col min="13" max="13" width="10.7109375" style="139" customWidth="1"/>
    <col min="14" max="14" width="10.421875" style="139" customWidth="1"/>
    <col min="15" max="15" width="11.421875" style="139" customWidth="1"/>
    <col min="16" max="17" width="10.421875" style="139" customWidth="1"/>
    <col min="18" max="18" width="11.28125" style="139" customWidth="1"/>
    <col min="19" max="20" width="10.28125" style="139" customWidth="1"/>
    <col min="21" max="23" width="10.57421875" style="139" customWidth="1"/>
    <col min="24" max="24" width="10.7109375" style="139" customWidth="1"/>
    <col min="25" max="25" width="10.28125" style="139" bestFit="1" customWidth="1"/>
    <col min="26" max="26" width="10.421875" style="139" customWidth="1"/>
    <col min="27" max="27" width="10.28125" style="139" bestFit="1" customWidth="1"/>
    <col min="28" max="16384" width="9.140625" style="139" customWidth="1"/>
  </cols>
  <sheetData>
    <row r="1" s="769" customFormat="1" ht="17.25" thickBot="1">
      <c r="A1" s="770" t="s">
        <v>401</v>
      </c>
    </row>
    <row r="2" spans="1:27" ht="129" thickBot="1">
      <c r="A2" s="1979" t="s">
        <v>0</v>
      </c>
      <c r="B2" s="997" t="s">
        <v>187</v>
      </c>
      <c r="C2" s="1133" t="s">
        <v>188</v>
      </c>
      <c r="D2" s="1133" t="s">
        <v>189</v>
      </c>
      <c r="E2" s="1133" t="s">
        <v>190</v>
      </c>
      <c r="F2" s="1133" t="s">
        <v>191</v>
      </c>
      <c r="G2" s="1133" t="s">
        <v>192</v>
      </c>
      <c r="H2" s="1133" t="s">
        <v>193</v>
      </c>
      <c r="I2" s="1133" t="s">
        <v>194</v>
      </c>
      <c r="J2" s="1133" t="s">
        <v>195</v>
      </c>
      <c r="K2" s="1133" t="s">
        <v>196</v>
      </c>
      <c r="L2" s="1133" t="s">
        <v>197</v>
      </c>
      <c r="M2" s="1133" t="s">
        <v>198</v>
      </c>
      <c r="N2" s="1133" t="s">
        <v>199</v>
      </c>
      <c r="O2" s="1133" t="s">
        <v>200</v>
      </c>
      <c r="P2" s="1133" t="s">
        <v>201</v>
      </c>
      <c r="Q2" s="1133" t="s">
        <v>202</v>
      </c>
      <c r="R2" s="1133" t="s">
        <v>203</v>
      </c>
      <c r="S2" s="1133" t="s">
        <v>204</v>
      </c>
      <c r="T2" s="1133" t="s">
        <v>205</v>
      </c>
      <c r="U2" s="1133" t="s">
        <v>206</v>
      </c>
      <c r="V2" s="1133" t="s">
        <v>207</v>
      </c>
      <c r="W2" s="1133" t="s">
        <v>208</v>
      </c>
      <c r="X2" s="1133" t="s">
        <v>209</v>
      </c>
      <c r="Y2" s="1133" t="s">
        <v>1</v>
      </c>
      <c r="Z2" s="1133" t="s">
        <v>210</v>
      </c>
      <c r="AA2" s="1133" t="s">
        <v>2</v>
      </c>
    </row>
    <row r="3" spans="1:27" s="831" customFormat="1" ht="31.5" customHeight="1" thickBot="1">
      <c r="A3" s="1980"/>
      <c r="B3" s="998" t="s">
        <v>443</v>
      </c>
      <c r="C3" s="998" t="s">
        <v>443</v>
      </c>
      <c r="D3" s="998" t="s">
        <v>443</v>
      </c>
      <c r="E3" s="998" t="s">
        <v>443</v>
      </c>
      <c r="F3" s="998" t="s">
        <v>443</v>
      </c>
      <c r="G3" s="998" t="s">
        <v>443</v>
      </c>
      <c r="H3" s="998" t="s">
        <v>443</v>
      </c>
      <c r="I3" s="998" t="s">
        <v>443</v>
      </c>
      <c r="J3" s="998" t="s">
        <v>443</v>
      </c>
      <c r="K3" s="998" t="s">
        <v>443</v>
      </c>
      <c r="L3" s="998" t="s">
        <v>443</v>
      </c>
      <c r="M3" s="998" t="s">
        <v>443</v>
      </c>
      <c r="N3" s="998" t="s">
        <v>443</v>
      </c>
      <c r="O3" s="998" t="s">
        <v>443</v>
      </c>
      <c r="P3" s="998" t="s">
        <v>443</v>
      </c>
      <c r="Q3" s="998" t="s">
        <v>443</v>
      </c>
      <c r="R3" s="998" t="s">
        <v>443</v>
      </c>
      <c r="S3" s="998" t="s">
        <v>443</v>
      </c>
      <c r="T3" s="998" t="s">
        <v>443</v>
      </c>
      <c r="U3" s="998" t="s">
        <v>443</v>
      </c>
      <c r="V3" s="998" t="s">
        <v>443</v>
      </c>
      <c r="W3" s="998" t="s">
        <v>443</v>
      </c>
      <c r="X3" s="998" t="s">
        <v>443</v>
      </c>
      <c r="Y3" s="998" t="s">
        <v>443</v>
      </c>
      <c r="Z3" s="998" t="s">
        <v>443</v>
      </c>
      <c r="AA3" s="998" t="s">
        <v>443</v>
      </c>
    </row>
    <row r="4" spans="1:27" ht="16.5">
      <c r="A4" s="761" t="s">
        <v>397</v>
      </c>
      <c r="B4" s="754">
        <v>0</v>
      </c>
      <c r="C4" s="754">
        <v>700000</v>
      </c>
      <c r="D4" s="754">
        <v>0</v>
      </c>
      <c r="E4" s="754">
        <v>0</v>
      </c>
      <c r="F4" s="754">
        <v>600000</v>
      </c>
      <c r="G4" s="754">
        <v>0</v>
      </c>
      <c r="H4" s="754">
        <v>0</v>
      </c>
      <c r="I4" s="754">
        <v>0</v>
      </c>
      <c r="J4" s="754">
        <v>0</v>
      </c>
      <c r="K4" s="754">
        <v>0</v>
      </c>
      <c r="L4" s="754">
        <v>0</v>
      </c>
      <c r="M4" s="754">
        <v>0</v>
      </c>
      <c r="N4" s="754">
        <v>0</v>
      </c>
      <c r="O4" s="754">
        <v>1000000</v>
      </c>
      <c r="P4" s="754">
        <v>0</v>
      </c>
      <c r="Q4" s="754">
        <v>0</v>
      </c>
      <c r="R4" s="754"/>
      <c r="S4" s="754">
        <v>0</v>
      </c>
      <c r="T4" s="754"/>
      <c r="U4" s="754">
        <v>0</v>
      </c>
      <c r="V4" s="754">
        <v>0</v>
      </c>
      <c r="W4" s="766">
        <v>0</v>
      </c>
      <c r="X4" s="759">
        <v>0</v>
      </c>
      <c r="Y4" s="754">
        <f>SUM(B4:X4)</f>
        <v>2300000</v>
      </c>
      <c r="Z4" s="762">
        <v>0</v>
      </c>
      <c r="AA4" s="764">
        <f>SUM(Y4+Z4)</f>
        <v>2300000</v>
      </c>
    </row>
    <row r="5" spans="1:27" ht="16.5">
      <c r="A5" s="753" t="s">
        <v>398</v>
      </c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 t="s">
        <v>407</v>
      </c>
      <c r="W5" s="767"/>
      <c r="X5" s="760"/>
      <c r="Y5" s="755"/>
      <c r="Z5" s="763"/>
      <c r="AA5" s="765"/>
    </row>
    <row r="6" spans="1:27" ht="16.5">
      <c r="A6" s="753" t="s">
        <v>399</v>
      </c>
      <c r="B6" s="755"/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755"/>
      <c r="R6" s="755"/>
      <c r="S6" s="755"/>
      <c r="T6" s="755"/>
      <c r="U6" s="755"/>
      <c r="V6" s="755"/>
      <c r="W6" s="767"/>
      <c r="X6" s="760"/>
      <c r="Y6" s="755"/>
      <c r="Z6" s="763"/>
      <c r="AA6" s="765"/>
    </row>
    <row r="7" spans="1:27" ht="16.5">
      <c r="A7" s="753" t="s">
        <v>75</v>
      </c>
      <c r="B7" s="755"/>
      <c r="C7" s="755"/>
      <c r="D7" s="755"/>
      <c r="E7" s="755"/>
      <c r="F7" s="755"/>
      <c r="G7" s="755"/>
      <c r="H7" s="755"/>
      <c r="I7" s="755"/>
      <c r="J7" s="755"/>
      <c r="K7" s="755"/>
      <c r="L7" s="755"/>
      <c r="M7" s="755"/>
      <c r="N7" s="755"/>
      <c r="O7" s="755"/>
      <c r="P7" s="755"/>
      <c r="Q7" s="755"/>
      <c r="R7" s="755">
        <v>47179</v>
      </c>
      <c r="S7" s="755"/>
      <c r="T7" s="755"/>
      <c r="U7" s="755"/>
      <c r="V7" s="755"/>
      <c r="W7" s="767"/>
      <c r="X7" s="760"/>
      <c r="Y7" s="755"/>
      <c r="Z7" s="763"/>
      <c r="AA7" s="765"/>
    </row>
    <row r="8" spans="1:27" s="831" customFormat="1" ht="17.25" thickBot="1">
      <c r="A8" s="914" t="s">
        <v>54</v>
      </c>
      <c r="B8" s="915">
        <v>0</v>
      </c>
      <c r="C8" s="915">
        <v>0</v>
      </c>
      <c r="D8" s="915"/>
      <c r="E8" s="915">
        <v>0</v>
      </c>
      <c r="F8" s="915">
        <f>F4</f>
        <v>600000</v>
      </c>
      <c r="G8" s="915">
        <v>0</v>
      </c>
      <c r="H8" s="915">
        <v>0</v>
      </c>
      <c r="I8" s="915">
        <v>0</v>
      </c>
      <c r="J8" s="915">
        <v>0</v>
      </c>
      <c r="K8" s="915">
        <v>0</v>
      </c>
      <c r="L8" s="915">
        <v>0</v>
      </c>
      <c r="M8" s="915">
        <v>0</v>
      </c>
      <c r="N8" s="915">
        <v>0</v>
      </c>
      <c r="O8" s="915">
        <f>O4</f>
        <v>1000000</v>
      </c>
      <c r="P8" s="915">
        <v>0</v>
      </c>
      <c r="Q8" s="915">
        <v>0</v>
      </c>
      <c r="R8" s="915">
        <v>47179</v>
      </c>
      <c r="S8" s="915">
        <v>0</v>
      </c>
      <c r="T8" s="915">
        <v>0</v>
      </c>
      <c r="U8" s="915">
        <v>0</v>
      </c>
      <c r="V8" s="915">
        <v>0</v>
      </c>
      <c r="W8" s="915">
        <v>0</v>
      </c>
      <c r="X8" s="915">
        <v>0</v>
      </c>
      <c r="Y8" s="915">
        <f>SUM(B8:X8)</f>
        <v>1647179</v>
      </c>
      <c r="Z8" s="916">
        <v>0</v>
      </c>
      <c r="AA8" s="917">
        <f>SUM(Y8+Z8)</f>
        <v>1647179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Pande Sandeep</dc:creator>
  <cp:keywords/>
  <dc:description/>
  <cp:lastModifiedBy>Pande Sandeep</cp:lastModifiedBy>
  <dcterms:created xsi:type="dcterms:W3CDTF">2019-02-21T06:27:16Z</dcterms:created>
  <dcterms:modified xsi:type="dcterms:W3CDTF">2019-09-16T04:55:38Z</dcterms:modified>
  <cp:category/>
  <cp:version/>
  <cp:contentType/>
  <cp:contentStatus/>
</cp:coreProperties>
</file>